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ropbox\my_lectures_course\aerodynamics_course_UNIGE\lecture_aero_2020\lecture2\data_files\"/>
    </mc:Choice>
  </mc:AlternateContent>
  <xr:revisionPtr revIDLastSave="0" documentId="13_ncr:1_{A835E7B4-B1B9-41DB-AF27-110AFC446620}" xr6:coauthVersionLast="45" xr6:coauthVersionMax="45" xr10:uidLastSave="{00000000-0000-0000-0000-000000000000}"/>
  <bookViews>
    <workbookView xWindow="-120" yWindow="-120" windowWidth="29040" windowHeight="15840" activeTab="3" xr2:uid="{85C0259F-F1E0-4617-BEB6-8845A97D2CF4}"/>
  </bookViews>
  <sheets>
    <sheet name="Monoplane equation" sheetId="6" r:id="rId1"/>
    <sheet name="Example - Bertin wing" sheetId="5" r:id="rId2"/>
    <sheet name="Example - Rectangular wing" sheetId="11" r:id="rId3"/>
    <sheet name="PA28" sheetId="13" r:id="rId4"/>
    <sheet name="CLEAN WORKSHEET" sheetId="12" r:id="rId5"/>
    <sheet name="Comparison of methods" sheetId="9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" i="13" l="1"/>
  <c r="M63" i="13" s="1"/>
  <c r="M62" i="13"/>
  <c r="L62" i="13"/>
  <c r="E62" i="13"/>
  <c r="K62" i="13" s="1"/>
  <c r="M61" i="13"/>
  <c r="L61" i="13"/>
  <c r="K61" i="13"/>
  <c r="J61" i="13"/>
  <c r="E61" i="13"/>
  <c r="I61" i="13" s="1"/>
  <c r="M60" i="13"/>
  <c r="L60" i="13"/>
  <c r="K60" i="13"/>
  <c r="J60" i="13"/>
  <c r="I60" i="13"/>
  <c r="N60" i="13" s="1"/>
  <c r="B77" i="13" s="1"/>
  <c r="H93" i="13" s="1"/>
  <c r="H60" i="13"/>
  <c r="E60" i="13"/>
  <c r="C49" i="13"/>
  <c r="C32" i="13"/>
  <c r="C27" i="13"/>
  <c r="C26" i="13"/>
  <c r="C29" i="13" s="1"/>
  <c r="C20" i="13"/>
  <c r="G60" i="13" s="1"/>
  <c r="D18" i="13"/>
  <c r="D17" i="13"/>
  <c r="D16" i="13"/>
  <c r="F78" i="13" l="1"/>
  <c r="E94" i="13" s="1"/>
  <c r="D77" i="13"/>
  <c r="C93" i="13" s="1"/>
  <c r="C77" i="13"/>
  <c r="B93" i="13" s="1"/>
  <c r="E77" i="13"/>
  <c r="D93" i="13" s="1"/>
  <c r="F77" i="13"/>
  <c r="E93" i="13" s="1"/>
  <c r="F61" i="13"/>
  <c r="N61" i="13"/>
  <c r="B78" i="13" s="1"/>
  <c r="H94" i="13" s="1"/>
  <c r="H61" i="13"/>
  <c r="G63" i="13"/>
  <c r="C30" i="13"/>
  <c r="G61" i="13"/>
  <c r="I62" i="13"/>
  <c r="G62" i="13" s="1"/>
  <c r="K63" i="13"/>
  <c r="F60" i="13"/>
  <c r="J62" i="13"/>
  <c r="L63" i="13"/>
  <c r="I63" i="13"/>
  <c r="J63" i="13"/>
  <c r="E78" i="13" l="1"/>
  <c r="D94" i="13" s="1"/>
  <c r="F63" i="13"/>
  <c r="N63" i="13"/>
  <c r="H63" i="13"/>
  <c r="C78" i="13"/>
  <c r="B94" i="13" s="1"/>
  <c r="H62" i="13"/>
  <c r="F62" i="13"/>
  <c r="N62" i="13"/>
  <c r="C79" i="13"/>
  <c r="B95" i="13" s="1"/>
  <c r="D78" i="13"/>
  <c r="C94" i="13" s="1"/>
  <c r="B80" i="13" l="1"/>
  <c r="H96" i="13" s="1"/>
  <c r="F80" i="13"/>
  <c r="E96" i="13" s="1"/>
  <c r="B79" i="13"/>
  <c r="H95" i="13" s="1"/>
  <c r="E79" i="13"/>
  <c r="D95" i="13" s="1"/>
  <c r="F79" i="13"/>
  <c r="E95" i="13" s="1"/>
  <c r="D79" i="13"/>
  <c r="C95" i="13" s="1"/>
  <c r="B99" i="13" s="1" a="1"/>
  <c r="D80" i="13"/>
  <c r="C96" i="13" s="1"/>
  <c r="E80" i="13"/>
  <c r="D96" i="13" s="1"/>
  <c r="C80" i="13"/>
  <c r="B96" i="13" s="1"/>
  <c r="C100" i="13" l="1"/>
  <c r="D102" i="13"/>
  <c r="D99" i="13"/>
  <c r="C102" i="13"/>
  <c r="C99" i="13"/>
  <c r="B102" i="13"/>
  <c r="B99" i="13"/>
  <c r="C106" i="13" s="1" a="1"/>
  <c r="D101" i="13"/>
  <c r="E100" i="13"/>
  <c r="D100" i="13"/>
  <c r="B100" i="13"/>
  <c r="E102" i="13"/>
  <c r="E99" i="13"/>
  <c r="E101" i="13"/>
  <c r="C101" i="13"/>
  <c r="B101" i="13"/>
  <c r="C109" i="13" l="1"/>
  <c r="C108" i="13"/>
  <c r="C107" i="13"/>
  <c r="C119" i="13" s="1"/>
  <c r="C120" i="13" s="1"/>
  <c r="C106" i="13"/>
  <c r="C115" i="13" s="1"/>
  <c r="C151" i="13" l="1"/>
  <c r="C145" i="13"/>
  <c r="C134" i="13"/>
  <c r="C128" i="13"/>
  <c r="C13" i="5" l="1"/>
  <c r="C145" i="5" s="1"/>
  <c r="C151" i="5" l="1"/>
  <c r="K63" i="12"/>
  <c r="J63" i="12"/>
  <c r="I63" i="12"/>
  <c r="H63" i="12"/>
  <c r="G63" i="12"/>
  <c r="E63" i="12"/>
  <c r="L63" i="12" s="1"/>
  <c r="E62" i="12"/>
  <c r="M62" i="12" s="1"/>
  <c r="E61" i="12"/>
  <c r="M61" i="12" s="1"/>
  <c r="M60" i="12"/>
  <c r="J60" i="12"/>
  <c r="E60" i="12"/>
  <c r="L60" i="12" s="1"/>
  <c r="C49" i="12"/>
  <c r="C27" i="12"/>
  <c r="F63" i="12"/>
  <c r="D18" i="12"/>
  <c r="D17" i="12"/>
  <c r="D16" i="12"/>
  <c r="I63" i="11"/>
  <c r="H63" i="11"/>
  <c r="G63" i="11"/>
  <c r="E63" i="11"/>
  <c r="L63" i="11" s="1"/>
  <c r="M62" i="11"/>
  <c r="E62" i="11"/>
  <c r="L62" i="11" s="1"/>
  <c r="L61" i="11"/>
  <c r="K61" i="11"/>
  <c r="E61" i="11"/>
  <c r="M61" i="11" s="1"/>
  <c r="M60" i="11"/>
  <c r="K60" i="11"/>
  <c r="J60" i="11"/>
  <c r="I60" i="11"/>
  <c r="H60" i="11" s="1"/>
  <c r="E60" i="11"/>
  <c r="L60" i="11" s="1"/>
  <c r="C49" i="11"/>
  <c r="C27" i="11"/>
  <c r="C21" i="11"/>
  <c r="F63" i="11" s="1"/>
  <c r="D18" i="11"/>
  <c r="D17" i="11"/>
  <c r="D16" i="11"/>
  <c r="C21" i="5"/>
  <c r="C32" i="12" l="1"/>
  <c r="N61" i="12"/>
  <c r="B78" i="12" s="1"/>
  <c r="H94" i="12" s="1"/>
  <c r="I62" i="12"/>
  <c r="I61" i="12"/>
  <c r="K62" i="12"/>
  <c r="M63" i="12"/>
  <c r="J62" i="12"/>
  <c r="J61" i="12"/>
  <c r="L62" i="12"/>
  <c r="N63" i="12"/>
  <c r="E80" i="12" s="1"/>
  <c r="D96" i="12" s="1"/>
  <c r="I60" i="12"/>
  <c r="K61" i="12"/>
  <c r="L61" i="12"/>
  <c r="N62" i="12"/>
  <c r="F79" i="12" s="1"/>
  <c r="E95" i="12" s="1"/>
  <c r="C26" i="12"/>
  <c r="K60" i="12"/>
  <c r="N61" i="11"/>
  <c r="B78" i="11" s="1"/>
  <c r="H94" i="11" s="1"/>
  <c r="N60" i="11"/>
  <c r="B77" i="11" s="1"/>
  <c r="H93" i="11" s="1"/>
  <c r="F62" i="11"/>
  <c r="J63" i="11"/>
  <c r="C80" i="11" s="1"/>
  <c r="B96" i="11" s="1"/>
  <c r="G60" i="11"/>
  <c r="I61" i="11"/>
  <c r="F61" i="11" s="1"/>
  <c r="K62" i="11"/>
  <c r="M63" i="11"/>
  <c r="C32" i="11"/>
  <c r="I62" i="11"/>
  <c r="K63" i="11"/>
  <c r="F60" i="11"/>
  <c r="J62" i="11"/>
  <c r="J61" i="11"/>
  <c r="N63" i="11"/>
  <c r="C26" i="11"/>
  <c r="C26" i="5"/>
  <c r="C30" i="5" s="1"/>
  <c r="D78" i="12" l="1"/>
  <c r="C94" i="12" s="1"/>
  <c r="E79" i="12"/>
  <c r="D95" i="12" s="1"/>
  <c r="C78" i="12"/>
  <c r="B94" i="12" s="1"/>
  <c r="C79" i="12"/>
  <c r="B95" i="12" s="1"/>
  <c r="H61" i="12"/>
  <c r="G61" i="12"/>
  <c r="H60" i="12"/>
  <c r="N60" i="12"/>
  <c r="G60" i="12"/>
  <c r="F78" i="12"/>
  <c r="E94" i="12" s="1"/>
  <c r="F60" i="12"/>
  <c r="C29" i="12"/>
  <c r="C30" i="12"/>
  <c r="G62" i="12"/>
  <c r="H62" i="12"/>
  <c r="F62" i="12"/>
  <c r="B80" i="12"/>
  <c r="H96" i="12" s="1"/>
  <c r="C80" i="12"/>
  <c r="B96" i="12" s="1"/>
  <c r="D80" i="12"/>
  <c r="C96" i="12" s="1"/>
  <c r="F80" i="12"/>
  <c r="E96" i="12" s="1"/>
  <c r="D79" i="12"/>
  <c r="C95" i="12" s="1"/>
  <c r="B79" i="12"/>
  <c r="H95" i="12" s="1"/>
  <c r="E78" i="12"/>
  <c r="D94" i="12" s="1"/>
  <c r="F61" i="12"/>
  <c r="E77" i="11"/>
  <c r="D93" i="11" s="1"/>
  <c r="D77" i="11"/>
  <c r="C93" i="11" s="1"/>
  <c r="C30" i="11"/>
  <c r="C29" i="11"/>
  <c r="B80" i="11"/>
  <c r="H96" i="11" s="1"/>
  <c r="N62" i="11"/>
  <c r="C79" i="11" s="1"/>
  <c r="B95" i="11" s="1"/>
  <c r="H62" i="11"/>
  <c r="G62" i="11"/>
  <c r="D78" i="11"/>
  <c r="C94" i="11" s="1"/>
  <c r="H61" i="11"/>
  <c r="G61" i="11"/>
  <c r="E80" i="11"/>
  <c r="D96" i="11" s="1"/>
  <c r="C78" i="11"/>
  <c r="B94" i="11" s="1"/>
  <c r="D80" i="11"/>
  <c r="C96" i="11" s="1"/>
  <c r="E78" i="11"/>
  <c r="D94" i="11" s="1"/>
  <c r="F78" i="11"/>
  <c r="E94" i="11" s="1"/>
  <c r="F80" i="11"/>
  <c r="E96" i="11" s="1"/>
  <c r="F77" i="11"/>
  <c r="E93" i="11" s="1"/>
  <c r="D79" i="11"/>
  <c r="C95" i="11" s="1"/>
  <c r="C77" i="11"/>
  <c r="B93" i="11" s="1"/>
  <c r="C29" i="5"/>
  <c r="M6" i="9"/>
  <c r="M7" i="9"/>
  <c r="M8" i="9"/>
  <c r="M9" i="9"/>
  <c r="M10" i="9"/>
  <c r="M11" i="9"/>
  <c r="M12" i="9"/>
  <c r="M13" i="9"/>
  <c r="M5" i="9"/>
  <c r="B77" i="12" l="1"/>
  <c r="H93" i="12" s="1"/>
  <c r="F77" i="12"/>
  <c r="E93" i="12" s="1"/>
  <c r="E77" i="12"/>
  <c r="D93" i="12" s="1"/>
  <c r="C77" i="12"/>
  <c r="B93" i="12" s="1"/>
  <c r="B99" i="12" s="1" a="1"/>
  <c r="D77" i="12"/>
  <c r="C93" i="12" s="1"/>
  <c r="B79" i="11"/>
  <c r="H95" i="11" s="1"/>
  <c r="F79" i="11"/>
  <c r="E95" i="11" s="1"/>
  <c r="E79" i="11"/>
  <c r="D95" i="11" s="1"/>
  <c r="B99" i="11" s="1" a="1"/>
  <c r="D101" i="12" l="1"/>
  <c r="C101" i="12"/>
  <c r="B101" i="12"/>
  <c r="B99" i="12"/>
  <c r="C106" i="12" s="1" a="1"/>
  <c r="E100" i="12"/>
  <c r="D100" i="12"/>
  <c r="B100" i="12"/>
  <c r="E102" i="12"/>
  <c r="E99" i="12"/>
  <c r="C100" i="12"/>
  <c r="D102" i="12"/>
  <c r="D99" i="12"/>
  <c r="C102" i="12"/>
  <c r="C99" i="12"/>
  <c r="B102" i="12"/>
  <c r="E101" i="12"/>
  <c r="D101" i="11"/>
  <c r="C101" i="11"/>
  <c r="B101" i="11"/>
  <c r="E100" i="11"/>
  <c r="D100" i="11"/>
  <c r="B100" i="11"/>
  <c r="E102" i="11"/>
  <c r="E99" i="11"/>
  <c r="D102" i="11"/>
  <c r="D99" i="11"/>
  <c r="B99" i="11"/>
  <c r="E101" i="11"/>
  <c r="C100" i="11"/>
  <c r="C102" i="11"/>
  <c r="C99" i="11"/>
  <c r="B102" i="11"/>
  <c r="C32" i="5"/>
  <c r="D16" i="5"/>
  <c r="C49" i="5" s="1"/>
  <c r="C109" i="12" l="1"/>
  <c r="C108" i="12"/>
  <c r="C107" i="12"/>
  <c r="C106" i="12"/>
  <c r="C115" i="12" s="1"/>
  <c r="C106" i="11" a="1"/>
  <c r="C27" i="5"/>
  <c r="C151" i="12" l="1"/>
  <c r="C145" i="12"/>
  <c r="C134" i="12"/>
  <c r="C119" i="12"/>
  <c r="C120" i="12" s="1"/>
  <c r="C109" i="11"/>
  <c r="C108" i="11"/>
  <c r="C107" i="11"/>
  <c r="C106" i="11"/>
  <c r="C115" i="11" s="1"/>
  <c r="E63" i="5"/>
  <c r="K63" i="5" s="1"/>
  <c r="E62" i="5"/>
  <c r="L62" i="5" s="1"/>
  <c r="E61" i="5"/>
  <c r="M61" i="5" s="1"/>
  <c r="E60" i="5"/>
  <c r="M60" i="5" s="1"/>
  <c r="D18" i="5"/>
  <c r="D17" i="5"/>
  <c r="C128" i="12" l="1"/>
  <c r="C151" i="11"/>
  <c r="C145" i="11"/>
  <c r="C134" i="11"/>
  <c r="C119" i="11"/>
  <c r="C120" i="11" s="1"/>
  <c r="I60" i="5"/>
  <c r="M62" i="5"/>
  <c r="L63" i="5"/>
  <c r="M63" i="5"/>
  <c r="J60" i="5"/>
  <c r="I61" i="5"/>
  <c r="K60" i="5"/>
  <c r="J61" i="5"/>
  <c r="I62" i="5"/>
  <c r="L60" i="5"/>
  <c r="K61" i="5"/>
  <c r="J62" i="5"/>
  <c r="I63" i="5"/>
  <c r="L61" i="5"/>
  <c r="K62" i="5"/>
  <c r="J63" i="5"/>
  <c r="C128" i="11" l="1"/>
  <c r="G61" i="5"/>
  <c r="F61" i="5"/>
  <c r="G63" i="5"/>
  <c r="F63" i="5"/>
  <c r="G60" i="5"/>
  <c r="F60" i="5"/>
  <c r="G62" i="5"/>
  <c r="F62" i="5"/>
  <c r="H60" i="5"/>
  <c r="N61" i="5"/>
  <c r="C78" i="5" s="1"/>
  <c r="B94" i="5" s="1"/>
  <c r="H61" i="5"/>
  <c r="N63" i="5"/>
  <c r="H63" i="5"/>
  <c r="N62" i="5"/>
  <c r="F79" i="5" s="1"/>
  <c r="E95" i="5" s="1"/>
  <c r="H62" i="5"/>
  <c r="N60" i="5"/>
  <c r="F77" i="5" s="1"/>
  <c r="E93" i="5" s="1"/>
  <c r="C79" i="5" l="1"/>
  <c r="B95" i="5" s="1"/>
  <c r="B79" i="5"/>
  <c r="H95" i="5" s="1"/>
  <c r="D79" i="5"/>
  <c r="C95" i="5" s="1"/>
  <c r="E79" i="5"/>
  <c r="D95" i="5" s="1"/>
  <c r="B77" i="5"/>
  <c r="H93" i="5" s="1"/>
  <c r="D77" i="5"/>
  <c r="C93" i="5" s="1"/>
  <c r="E77" i="5"/>
  <c r="D93" i="5" s="1"/>
  <c r="C77" i="5"/>
  <c r="B93" i="5" s="1"/>
  <c r="B80" i="5"/>
  <c r="H96" i="5" s="1"/>
  <c r="D80" i="5"/>
  <c r="C96" i="5" s="1"/>
  <c r="C80" i="5"/>
  <c r="B96" i="5" s="1"/>
  <c r="E78" i="5"/>
  <c r="D94" i="5" s="1"/>
  <c r="D78" i="5"/>
  <c r="C94" i="5" s="1"/>
  <c r="E80" i="5"/>
  <c r="D96" i="5" s="1"/>
  <c r="F80" i="5"/>
  <c r="E96" i="5" s="1"/>
  <c r="B78" i="5"/>
  <c r="H94" i="5" s="1"/>
  <c r="F78" i="5"/>
  <c r="E94" i="5" s="1"/>
  <c r="B99" i="5" l="1" a="1"/>
  <c r="E101" i="5" s="1"/>
  <c r="B99" i="5" l="1"/>
  <c r="B102" i="5"/>
  <c r="B101" i="5"/>
  <c r="C100" i="5"/>
  <c r="C99" i="5"/>
  <c r="C102" i="5"/>
  <c r="C101" i="5"/>
  <c r="D100" i="5"/>
  <c r="D99" i="5"/>
  <c r="D102" i="5"/>
  <c r="D101" i="5"/>
  <c r="E100" i="5"/>
  <c r="E99" i="5"/>
  <c r="B100" i="5"/>
  <c r="E102" i="5"/>
  <c r="C106" i="5" l="1" a="1"/>
  <c r="C107" i="5" s="1"/>
  <c r="C106" i="5" l="1"/>
  <c r="C115" i="5" s="1"/>
  <c r="C109" i="5"/>
  <c r="C108" i="5"/>
  <c r="C119" i="5" l="1"/>
  <c r="C120" i="5" s="1"/>
  <c r="C134" i="5"/>
  <c r="C128" i="5" l="1"/>
</calcChain>
</file>

<file path=xl/sharedStrings.xml><?xml version="1.0" encoding="utf-8"?>
<sst xmlns="http://schemas.openxmlformats.org/spreadsheetml/2006/main" count="390" uniqueCount="98">
  <si>
    <t>AOA</t>
  </si>
  <si>
    <t>AOA_ZL</t>
  </si>
  <si>
    <t>N</t>
  </si>
  <si>
    <t>Aspect ratio</t>
  </si>
  <si>
    <t>Lift curve slope (per rad)</t>
  </si>
  <si>
    <t>pi</t>
  </si>
  <si>
    <t>b</t>
  </si>
  <si>
    <t>cr</t>
  </si>
  <si>
    <t>ct</t>
  </si>
  <si>
    <t>Root chord</t>
  </si>
  <si>
    <t>Tip chord</t>
  </si>
  <si>
    <t>mu</t>
  </si>
  <si>
    <t>mu1</t>
  </si>
  <si>
    <t>lhs</t>
  </si>
  <si>
    <t>Ax=b</t>
  </si>
  <si>
    <t>x=A^(-1)b</t>
  </si>
  <si>
    <t>A</t>
  </si>
  <si>
    <t>A^(-1)</t>
  </si>
  <si>
    <t>CL</t>
  </si>
  <si>
    <t>A1</t>
  </si>
  <si>
    <t>A3</t>
  </si>
  <si>
    <t>A5</t>
  </si>
  <si>
    <t>A7</t>
  </si>
  <si>
    <t xml:space="preserve"> </t>
  </si>
  <si>
    <t>pi/8</t>
  </si>
  <si>
    <t>pi/4</t>
  </si>
  <si>
    <t>3pi/8</t>
  </si>
  <si>
    <t>pi/2</t>
  </si>
  <si>
    <t>phi (deg)</t>
  </si>
  <si>
    <t>phi_r (rad)</t>
  </si>
  <si>
    <t>cos(phi_r)</t>
  </si>
  <si>
    <t>sin(phi_r)</t>
  </si>
  <si>
    <t>sin(3*phi_r)</t>
  </si>
  <si>
    <t>sin(5*phi_r)</t>
  </si>
  <si>
    <t>sin(7*phi_r)</t>
  </si>
  <si>
    <t>c(phi)</t>
  </si>
  <si>
    <t>delta</t>
  </si>
  <si>
    <t>e</t>
  </si>
  <si>
    <t>oswald span efficiency</t>
  </si>
  <si>
    <t>induced drag factor</t>
  </si>
  <si>
    <t>CD_i</t>
  </si>
  <si>
    <t>CL_alfa</t>
  </si>
  <si>
    <t>cl_a</t>
  </si>
  <si>
    <t>per rad</t>
  </si>
  <si>
    <t>m/s</t>
  </si>
  <si>
    <t>kg/m3</t>
  </si>
  <si>
    <t>Angle of attack (deg and rad)</t>
  </si>
  <si>
    <t>Zero lift AOA (deg and rad)</t>
  </si>
  <si>
    <t>S  (Manual input)</t>
  </si>
  <si>
    <t>S  (Computed)</t>
  </si>
  <si>
    <t>TR  (Computed)</t>
  </si>
  <si>
    <t>RAD</t>
  </si>
  <si>
    <t>DEG</t>
  </si>
  <si>
    <t>Constant values</t>
  </si>
  <si>
    <t>Velocity</t>
  </si>
  <si>
    <t>Air density (rho)</t>
  </si>
  <si>
    <t>Lift</t>
  </si>
  <si>
    <t>Velocity at steady level flight where</t>
  </si>
  <si>
    <t>Vel. for L = W</t>
  </si>
  <si>
    <t>s = b/2</t>
  </si>
  <si>
    <t>Wing semi-span</t>
  </si>
  <si>
    <t>TR (Manual input)</t>
  </si>
  <si>
    <t>Spanwise stations</t>
  </si>
  <si>
    <t>AR (Manual input)</t>
  </si>
  <si>
    <t>AR using b (Computed)</t>
  </si>
  <si>
    <t>AR using b/2 (Computed)</t>
  </si>
  <si>
    <t>y(b)</t>
  </si>
  <si>
    <t>y(b/2)</t>
  </si>
  <si>
    <t>Compulsory information - Manual input</t>
  </si>
  <si>
    <t>Optional information - Manual input</t>
  </si>
  <si>
    <t>Compulsory information - Computed using information entered manually</t>
  </si>
  <si>
    <t>Data from Sivells 1947</t>
  </si>
  <si>
    <t>Data from Bertin</t>
  </si>
  <si>
    <t>Guerrero - LLT</t>
  </si>
  <si>
    <t>Guerrero - CFD</t>
  </si>
  <si>
    <t>CDi</t>
  </si>
  <si>
    <t>AR</t>
  </si>
  <si>
    <t>cdi theo</t>
  </si>
  <si>
    <t>CDI theoretical</t>
  </si>
  <si>
    <t>Aspect ratio computed using wing semi-span b/2</t>
  </si>
  <si>
    <t>Aspect ratio computed using wing span b (tip-to-tip)</t>
  </si>
  <si>
    <t>b/2</t>
  </si>
  <si>
    <t>Wing semi-span b/2</t>
  </si>
  <si>
    <t>Wing span b (tip-to-tip)</t>
  </si>
  <si>
    <t>Wing area inserted manually - It can be computed automatically (B26) but the user must give chord at the tip (B24)</t>
  </si>
  <si>
    <t>Taper ratio - It can be computed automatically (B27) but the user must give chord at the tip (B24)</t>
  </si>
  <si>
    <t>Wing area computed from wing geometry information - The area is computed for a trapezoidal planform - To compute it, you must give chord at the tip (B24)</t>
  </si>
  <si>
    <t>Taper ratio computed from wing geometry information - To compute it, you must give chord at the tip (B24)</t>
  </si>
  <si>
    <t>Station</t>
  </si>
  <si>
    <t>Target Weight</t>
  </si>
  <si>
    <t>NACA 65-210 DATA</t>
  </si>
  <si>
    <t>NACA 2412 - RE 6000000</t>
  </si>
  <si>
    <t>AIRFOIL DATA - CAN BE INVISCID OR VISCOUS DATA</t>
  </si>
  <si>
    <t>NACA 65_2-415 DATA</t>
  </si>
  <si>
    <t>0.85 at 4000</t>
  </si>
  <si>
    <t>1 at 2000</t>
  </si>
  <si>
    <t>1.112 at 1000</t>
  </si>
  <si>
    <t>1.225 sea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</si>
</sst>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0" fontId="1" fillId="2" borderId="0" xfId="0" applyFont="1" applyFill="1"/>
    <xf numFmtId="0" fontId="2" fillId="3" borderId="0" xfId="0" applyFont="1" applyFill="1"/>
    <xf numFmtId="0" fontId="1" fillId="0" borderId="0" xfId="0" applyFont="1" applyFill="1"/>
    <xf numFmtId="0" fontId="1" fillId="3" borderId="0" xfId="0" applyFont="1" applyFill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5" borderId="0" xfId="0" applyFont="1" applyFill="1"/>
    <xf numFmtId="0" fontId="1" fillId="6" borderId="0" xfId="0" applyFont="1" applyFill="1" applyAlignment="1">
      <alignment horizontal="center" vertical="center"/>
    </xf>
    <xf numFmtId="0" fontId="3" fillId="4" borderId="0" xfId="0" applyFont="1" applyFill="1"/>
    <xf numFmtId="0" fontId="3" fillId="4" borderId="0" xfId="0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/>
    <xf numFmtId="0" fontId="3" fillId="5" borderId="0" xfId="0" applyFont="1" applyFill="1"/>
    <xf numFmtId="0" fontId="3" fillId="2" borderId="0" xfId="0" applyFont="1" applyFill="1"/>
    <xf numFmtId="0" fontId="3" fillId="3" borderId="0" xfId="0" applyFont="1" applyFill="1"/>
    <xf numFmtId="0" fontId="0" fillId="0" borderId="0" xfId="0" applyFill="1"/>
    <xf numFmtId="0" fontId="3" fillId="7" borderId="0" xfId="0" applyFont="1" applyFill="1" applyAlignment="1">
      <alignment horizontal="center" vertical="center"/>
    </xf>
    <xf numFmtId="0" fontId="3" fillId="8" borderId="0" xfId="0" applyFont="1" applyFill="1"/>
    <xf numFmtId="0" fontId="1" fillId="8" borderId="0" xfId="0" applyFont="1" applyFill="1"/>
    <xf numFmtId="0" fontId="2" fillId="8" borderId="0" xfId="0" applyFont="1" applyFill="1"/>
    <xf numFmtId="0" fontId="3" fillId="4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7" borderId="0" xfId="0" applyFont="1" applyFill="1"/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8206609308966E-2"/>
          <c:y val="2.8556593977154723E-2"/>
          <c:w val="0.89175571803524556"/>
          <c:h val="0.872278640403594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'Comparison of methods'!$B$3</c:f>
              <c:strCache>
                <c:ptCount val="1"/>
                <c:pt idx="0">
                  <c:v>Data from Sivells 1947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'Comparison of methods'!$B$5:$B$24</c:f>
              <c:numCache>
                <c:formatCode>General</c:formatCode>
                <c:ptCount val="20"/>
                <c:pt idx="0">
                  <c:v>-3.0501237822717999</c:v>
                </c:pt>
                <c:pt idx="1">
                  <c:v>-1.87557470340481</c:v>
                </c:pt>
                <c:pt idx="2">
                  <c:v>-1.20378527258892</c:v>
                </c:pt>
                <c:pt idx="3">
                  <c:v>0.15608355035419799</c:v>
                </c:pt>
                <c:pt idx="4">
                  <c:v>1.0513455293701499</c:v>
                </c:pt>
                <c:pt idx="5">
                  <c:v>2.22576600327942</c:v>
                </c:pt>
                <c:pt idx="6">
                  <c:v>3.1579376051613401</c:v>
                </c:pt>
                <c:pt idx="7">
                  <c:v>4.3133245453278803</c:v>
                </c:pt>
                <c:pt idx="8">
                  <c:v>5.3389062148345703</c:v>
                </c:pt>
                <c:pt idx="9">
                  <c:v>6.4758169094085201</c:v>
                </c:pt>
                <c:pt idx="10">
                  <c:v>7.5012271056382396</c:v>
                </c:pt>
                <c:pt idx="11">
                  <c:v>8.4334415758393995</c:v>
                </c:pt>
                <c:pt idx="12">
                  <c:v>9.7007148292233207</c:v>
                </c:pt>
                <c:pt idx="13">
                  <c:v>10.8188491999699</c:v>
                </c:pt>
                <c:pt idx="14">
                  <c:v>11.396585538372401</c:v>
                </c:pt>
                <c:pt idx="15">
                  <c:v>11.8814262289811</c:v>
                </c:pt>
                <c:pt idx="16">
                  <c:v>12.3285856669774</c:v>
                </c:pt>
                <c:pt idx="17">
                  <c:v>12.8877600231488</c:v>
                </c:pt>
                <c:pt idx="18">
                  <c:v>13.484058343782401</c:v>
                </c:pt>
                <c:pt idx="19">
                  <c:v>13.9084547042621</c:v>
                </c:pt>
              </c:numCache>
            </c:numRef>
          </c:xVal>
          <c:yVal>
            <c:numRef>
              <c:f>'Comparison of methods'!$C$5:$C$24</c:f>
              <c:numCache>
                <c:formatCode>General</c:formatCode>
                <c:ptCount val="20"/>
                <c:pt idx="0">
                  <c:v>-0.150733584113001</c:v>
                </c:pt>
                <c:pt idx="1">
                  <c:v>-4.51231928324171E-2</c:v>
                </c:pt>
                <c:pt idx="2">
                  <c:v>4.1822332250907902E-2</c:v>
                </c:pt>
                <c:pt idx="3">
                  <c:v>0.116181718805259</c:v>
                </c:pt>
                <c:pt idx="4">
                  <c:v>0.21244681649144201</c:v>
                </c:pt>
                <c:pt idx="5">
                  <c:v>0.31252719459001799</c:v>
                </c:pt>
                <c:pt idx="6">
                  <c:v>0.39590607551254398</c:v>
                </c:pt>
                <c:pt idx="7">
                  <c:v>0.47754450267391102</c:v>
                </c:pt>
                <c:pt idx="8">
                  <c:v>0.57755629146170295</c:v>
                </c:pt>
                <c:pt idx="9">
                  <c:v>0.66471615814122997</c:v>
                </c:pt>
                <c:pt idx="10">
                  <c:v>0.75735459601967703</c:v>
                </c:pt>
                <c:pt idx="11">
                  <c:v>0.84257681466953904</c:v>
                </c:pt>
                <c:pt idx="12">
                  <c:v>0.93532671017801094</c:v>
                </c:pt>
                <c:pt idx="13">
                  <c:v>1.0151046522843401</c:v>
                </c:pt>
                <c:pt idx="14">
                  <c:v>1.05776720359236</c:v>
                </c:pt>
                <c:pt idx="15">
                  <c:v>1.1059168997631501</c:v>
                </c:pt>
                <c:pt idx="16">
                  <c:v>1.1337727336055401</c:v>
                </c:pt>
                <c:pt idx="17">
                  <c:v>1.1782700489770499</c:v>
                </c:pt>
                <c:pt idx="18">
                  <c:v>1.2190978362215801</c:v>
                </c:pt>
                <c:pt idx="19">
                  <c:v>1.06814133684853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B2-4850-8A62-E8F8B60F2F99}"/>
            </c:ext>
          </c:extLst>
        </c:ser>
        <c:ser>
          <c:idx val="1"/>
          <c:order val="1"/>
          <c:tx>
            <c:strRef>
              <c:f>'Comparison of methods'!$F$3</c:f>
              <c:strCache>
                <c:ptCount val="1"/>
                <c:pt idx="0">
                  <c:v>Data from Bertin</c:v>
                </c:pt>
              </c:strCache>
            </c:strRef>
          </c:tx>
          <c:spPr>
            <a:ln w="63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'Comparison of methods'!$F$5:$F$12</c:f>
              <c:numCache>
                <c:formatCode>General</c:formatCode>
                <c:ptCount val="8"/>
                <c:pt idx="0">
                  <c:v>-2.56536882830166</c:v>
                </c:pt>
                <c:pt idx="1">
                  <c:v>-1.26045719062469</c:v>
                </c:pt>
                <c:pt idx="2">
                  <c:v>0.67839115197890498</c:v>
                </c:pt>
                <c:pt idx="3">
                  <c:v>3.6985499791016898</c:v>
                </c:pt>
                <c:pt idx="4">
                  <c:v>5.7866658093002696</c:v>
                </c:pt>
                <c:pt idx="5">
                  <c:v>8.7321480243063299</c:v>
                </c:pt>
                <c:pt idx="6">
                  <c:v>10.260832288417999</c:v>
                </c:pt>
                <c:pt idx="7">
                  <c:v>12.311481207600499</c:v>
                </c:pt>
              </c:numCache>
            </c:numRef>
          </c:xVal>
          <c:yVal>
            <c:numRef>
              <c:f>'Comparison of methods'!$G$5:$G$12</c:f>
              <c:numCache>
                <c:formatCode>General</c:formatCode>
                <c:ptCount val="8"/>
                <c:pt idx="0">
                  <c:v>-0.106270563396885</c:v>
                </c:pt>
                <c:pt idx="1">
                  <c:v>4.9298567126427797E-3</c:v>
                </c:pt>
                <c:pt idx="2">
                  <c:v>0.17540858866775899</c:v>
                </c:pt>
                <c:pt idx="3">
                  <c:v>0.44223815494753999</c:v>
                </c:pt>
                <c:pt idx="4">
                  <c:v>0.63121885348680196</c:v>
                </c:pt>
                <c:pt idx="5">
                  <c:v>0.88695409874717401</c:v>
                </c:pt>
                <c:pt idx="6">
                  <c:v>1.02037745555091</c:v>
                </c:pt>
                <c:pt idx="7">
                  <c:v>1.19828098039846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B2-4850-8A62-E8F8B60F2F99}"/>
            </c:ext>
          </c:extLst>
        </c:ser>
        <c:ser>
          <c:idx val="2"/>
          <c:order val="2"/>
          <c:tx>
            <c:strRef>
              <c:f>'Comparison of methods'!$J$3</c:f>
              <c:strCache>
                <c:ptCount val="1"/>
                <c:pt idx="0">
                  <c:v>Guerrero - LLT</c:v>
                </c:pt>
              </c:strCache>
            </c:strRef>
          </c:tx>
          <c:spPr>
            <a:ln w="63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'Comparison of methods'!$J$5:$J$13</c:f>
              <c:numCache>
                <c:formatCode>General</c:formatCode>
                <c:ptCount val="9"/>
                <c:pt idx="0">
                  <c:v>-4</c:v>
                </c:pt>
                <c:pt idx="1">
                  <c:v>-2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</c:numCache>
            </c:numRef>
          </c:xVal>
          <c:yVal>
            <c:numRef>
              <c:f>'Comparison of methods'!$K$5:$K$13</c:f>
              <c:numCache>
                <c:formatCode>General</c:formatCode>
                <c:ptCount val="9"/>
                <c:pt idx="0">
                  <c:v>-0.25058697600000002</c:v>
                </c:pt>
                <c:pt idx="1">
                  <c:v>-7.1599999999999997E-2</c:v>
                </c:pt>
                <c:pt idx="2">
                  <c:v>0.107394</c:v>
                </c:pt>
                <c:pt idx="3">
                  <c:v>0.286385</c:v>
                </c:pt>
                <c:pt idx="4">
                  <c:v>0.46537600000000001</c:v>
                </c:pt>
                <c:pt idx="5">
                  <c:v>0.64436650900000003</c:v>
                </c:pt>
                <c:pt idx="6">
                  <c:v>0.82335720599999995</c:v>
                </c:pt>
                <c:pt idx="7">
                  <c:v>1.002347903</c:v>
                </c:pt>
                <c:pt idx="8">
                  <c:v>1.1813385999999999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B2-4850-8A62-E8F8B60F2F99}"/>
            </c:ext>
          </c:extLst>
        </c:ser>
        <c:ser>
          <c:idx val="3"/>
          <c:order val="3"/>
          <c:tx>
            <c:strRef>
              <c:f>'Comparison of methods'!$P$3</c:f>
              <c:strCache>
                <c:ptCount val="1"/>
                <c:pt idx="0">
                  <c:v>Guerrero - CFD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'Comparison of methods'!$P$5:$P$8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10</c:v>
                </c:pt>
                <c:pt idx="3">
                  <c:v>14</c:v>
                </c:pt>
              </c:numCache>
            </c:numRef>
          </c:xVal>
          <c:yVal>
            <c:numRef>
              <c:f>'Comparison of methods'!$Q$5:$Q$8</c:f>
              <c:numCache>
                <c:formatCode>General</c:formatCode>
                <c:ptCount val="4"/>
                <c:pt idx="0">
                  <c:v>0.121515993233707</c:v>
                </c:pt>
                <c:pt idx="1">
                  <c:v>0.45828706422691101</c:v>
                </c:pt>
                <c:pt idx="2">
                  <c:v>0.93010835468571595</c:v>
                </c:pt>
                <c:pt idx="3">
                  <c:v>0.82369999999999999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B2-4850-8A62-E8F8B60F2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722792"/>
        <c:axId val="480721808"/>
      </c:scatterChart>
      <c:valAx>
        <c:axId val="480722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AOA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21808"/>
        <c:crossesAt val="-0.4"/>
        <c:crossBetween val="midCat"/>
      </c:valAx>
      <c:valAx>
        <c:axId val="48072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CL</a:t>
                </a:r>
              </a:p>
            </c:rich>
          </c:tx>
          <c:layout>
            <c:manualLayout>
              <c:xMode val="edge"/>
              <c:yMode val="edge"/>
              <c:x val="1.2466304887564733E-2"/>
              <c:y val="0.429493421967113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22792"/>
        <c:crossesAt val="-6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883772129835127"/>
          <c:y val="8.008765259482753E-2"/>
          <c:w val="0.23927038680975685"/>
          <c:h val="0.1752348713420168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28206609308966E-2"/>
          <c:y val="2.8556593977154723E-2"/>
          <c:w val="0.89175571803524556"/>
          <c:h val="0.87227864040359437"/>
        </c:manualLayout>
      </c:layout>
      <c:scatterChart>
        <c:scatterStyle val="lineMarker"/>
        <c:varyColors val="0"/>
        <c:ser>
          <c:idx val="2"/>
          <c:order val="0"/>
          <c:tx>
            <c:strRef>
              <c:f>'Comparison of methods'!$J$3</c:f>
              <c:strCache>
                <c:ptCount val="1"/>
                <c:pt idx="0">
                  <c:v>Guerrero - LLT</c:v>
                </c:pt>
              </c:strCache>
            </c:strRef>
          </c:tx>
          <c:spPr>
            <a:ln w="63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5F5FE21-291D-418D-AA0D-3CC102595C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6EB-4736-9137-88B058B1FF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41E5862-A3EA-43E2-B685-31D598D560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6EB-4736-9137-88B058B1FF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39BBCFF-F7AE-4281-A184-FA0F1D38F2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6EB-4736-9137-88B058B1FF7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8274498-3C39-4401-957C-A763E99898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6EB-4736-9137-88B058B1FF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54FCB86-4E82-4D21-BB36-F1FB33F3FF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6EB-4736-9137-88B058B1FF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C3EF42-7A5C-4CA6-A163-18B7FB291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6EB-4736-9137-88B058B1FF7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285D4EC-DB18-478A-8260-A31007B03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6EB-4736-9137-88B058B1FF7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345CC4F-2D99-44AA-934C-3560241424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6EB-4736-9137-88B058B1FF7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80D5555-A7BE-4517-A2B5-D229AC179E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6EB-4736-9137-88B058B1FF74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6576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'Comparison of methods'!$L$5:$L$13</c:f>
              <c:numCache>
                <c:formatCode>General</c:formatCode>
                <c:ptCount val="9"/>
                <c:pt idx="0">
                  <c:v>2.251715159339987E-3</c:v>
                </c:pt>
                <c:pt idx="1">
                  <c:v>1.8381348239510106E-4</c:v>
                </c:pt>
                <c:pt idx="2">
                  <c:v>4.1358033538897715E-4</c:v>
                </c:pt>
                <c:pt idx="3">
                  <c:v>2.9410157183216157E-3</c:v>
                </c:pt>
                <c:pt idx="4">
                  <c:v>7.7661196311930147E-3</c:v>
                </c:pt>
                <c:pt idx="5">
                  <c:v>1.4888892074003178E-2</c:v>
                </c:pt>
                <c:pt idx="6">
                  <c:v>2.4309333046752112E-2</c:v>
                </c:pt>
                <c:pt idx="7">
                  <c:v>3.6027442549439792E-2</c:v>
                </c:pt>
                <c:pt idx="8">
                  <c:v>5.0043220582066249E-2</c:v>
                </c:pt>
              </c:numCache>
            </c:numRef>
          </c:xVal>
          <c:yVal>
            <c:numRef>
              <c:f>'Comparison of methods'!$K$5:$K$13</c:f>
              <c:numCache>
                <c:formatCode>General</c:formatCode>
                <c:ptCount val="9"/>
                <c:pt idx="0">
                  <c:v>-0.25058697600000002</c:v>
                </c:pt>
                <c:pt idx="1">
                  <c:v>-7.1599999999999997E-2</c:v>
                </c:pt>
                <c:pt idx="2">
                  <c:v>0.107394</c:v>
                </c:pt>
                <c:pt idx="3">
                  <c:v>0.286385</c:v>
                </c:pt>
                <c:pt idx="4">
                  <c:v>0.46537600000000001</c:v>
                </c:pt>
                <c:pt idx="5">
                  <c:v>0.64436650900000003</c:v>
                </c:pt>
                <c:pt idx="6">
                  <c:v>0.82335720599999995</c:v>
                </c:pt>
                <c:pt idx="7">
                  <c:v>1.002347903</c:v>
                </c:pt>
                <c:pt idx="8">
                  <c:v>1.1813385999999999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'Comparison of methods'!$J$5:$J$13</c15:f>
                <c15:dlblRangeCache>
                  <c:ptCount val="9"/>
                  <c:pt idx="0">
                    <c:v>-4</c:v>
                  </c:pt>
                  <c:pt idx="1">
                    <c:v>-2</c:v>
                  </c:pt>
                  <c:pt idx="2">
                    <c:v>0</c:v>
                  </c:pt>
                  <c:pt idx="3">
                    <c:v>2</c:v>
                  </c:pt>
                  <c:pt idx="4">
                    <c:v>4</c:v>
                  </c:pt>
                  <c:pt idx="5">
                    <c:v>6</c:v>
                  </c:pt>
                  <c:pt idx="6">
                    <c:v>8</c:v>
                  </c:pt>
                  <c:pt idx="7">
                    <c:v>10</c:v>
                  </c:pt>
                  <c:pt idx="8">
                    <c:v>12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E6EB-4736-9137-88B058B1FF74}"/>
            </c:ext>
          </c:extLst>
        </c:ser>
        <c:ser>
          <c:idx val="0"/>
          <c:order val="1"/>
          <c:tx>
            <c:strRef>
              <c:f>'Comparison of methods'!$M$3</c:f>
              <c:strCache>
                <c:ptCount val="1"/>
                <c:pt idx="0">
                  <c:v>CDI theoretical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'Comparison of methods'!$M$5:$M$13</c:f>
              <c:numCache>
                <c:formatCode>General</c:formatCode>
                <c:ptCount val="9"/>
                <c:pt idx="0">
                  <c:v>2.2517151625599378E-3</c:v>
                </c:pt>
                <c:pt idx="1">
                  <c:v>1.8383259018739436E-4</c:v>
                </c:pt>
                <c:pt idx="2">
                  <c:v>4.1357711431558178E-4</c:v>
                </c:pt>
                <c:pt idx="3">
                  <c:v>2.9410133517533896E-3</c:v>
                </c:pt>
                <c:pt idx="4">
                  <c:v>7.7661258978578901E-3</c:v>
                </c:pt>
                <c:pt idx="5">
                  <c:v>1.4888892062285356E-2</c:v>
                </c:pt>
                <c:pt idx="6">
                  <c:v>2.4309333030900739E-2</c:v>
                </c:pt>
                <c:pt idx="7">
                  <c:v>3.6027442529072896E-2</c:v>
                </c:pt>
                <c:pt idx="8">
                  <c:v>5.0043220556801805E-2</c:v>
                </c:pt>
              </c:numCache>
            </c:numRef>
          </c:xVal>
          <c:yVal>
            <c:numRef>
              <c:f>'Comparison of methods'!$K$5:$K$13</c:f>
              <c:numCache>
                <c:formatCode>General</c:formatCode>
                <c:ptCount val="9"/>
                <c:pt idx="0">
                  <c:v>-0.25058697600000002</c:v>
                </c:pt>
                <c:pt idx="1">
                  <c:v>-7.1599999999999997E-2</c:v>
                </c:pt>
                <c:pt idx="2">
                  <c:v>0.107394</c:v>
                </c:pt>
                <c:pt idx="3">
                  <c:v>0.286385</c:v>
                </c:pt>
                <c:pt idx="4">
                  <c:v>0.46537600000000001</c:v>
                </c:pt>
                <c:pt idx="5">
                  <c:v>0.64436650900000003</c:v>
                </c:pt>
                <c:pt idx="6">
                  <c:v>0.82335720599999995</c:v>
                </c:pt>
                <c:pt idx="7">
                  <c:v>1.002347903</c:v>
                </c:pt>
                <c:pt idx="8">
                  <c:v>1.1813385999999999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6EB-4736-9137-88B058B1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722792"/>
        <c:axId val="480721808"/>
      </c:scatterChart>
      <c:valAx>
        <c:axId val="480722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21808"/>
        <c:crossesAt val="-0.4"/>
        <c:crossBetween val="midCat"/>
      </c:valAx>
      <c:valAx>
        <c:axId val="48072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CL</a:t>
                </a:r>
              </a:p>
            </c:rich>
          </c:tx>
          <c:layout>
            <c:manualLayout>
              <c:xMode val="edge"/>
              <c:yMode val="edge"/>
              <c:x val="1.2466304887564733E-2"/>
              <c:y val="0.429493421967113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22792"/>
        <c:crossesAt val="-6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883772129835127"/>
          <c:y val="8.008765259482753E-2"/>
          <c:w val="0.11389343030594458"/>
          <c:h val="8.281166956934121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svg"/><Relationship Id="rId7" Type="http://schemas.openxmlformats.org/officeDocument/2006/relationships/image" Target="../media/image7.png"/><Relationship Id="rId12" Type="http://schemas.openxmlformats.org/officeDocument/2006/relationships/image" Target="../media/image12.svg"/><Relationship Id="rId17" Type="http://schemas.openxmlformats.org/officeDocument/2006/relationships/image" Target="../media/image17.png"/><Relationship Id="rId2" Type="http://schemas.openxmlformats.org/officeDocument/2006/relationships/image" Target="../media/image2.sv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svg"/><Relationship Id="rId19" Type="http://schemas.openxmlformats.org/officeDocument/2006/relationships/image" Target="../media/image19.svg"/><Relationship Id="rId4" Type="http://schemas.openxmlformats.org/officeDocument/2006/relationships/image" Target="../media/image4.svg"/><Relationship Id="rId9" Type="http://schemas.openxmlformats.org/officeDocument/2006/relationships/image" Target="../media/image9.png"/><Relationship Id="rId14" Type="http://schemas.openxmlformats.org/officeDocument/2006/relationships/image" Target="../media/image14.sv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.png"/><Relationship Id="rId18" Type="http://schemas.openxmlformats.org/officeDocument/2006/relationships/image" Target="../media/image6.svg"/><Relationship Id="rId26" Type="http://schemas.openxmlformats.org/officeDocument/2006/relationships/image" Target="../media/image36.svg"/><Relationship Id="rId39" Type="http://schemas.openxmlformats.org/officeDocument/2006/relationships/image" Target="../media/image40.svg"/><Relationship Id="rId21" Type="http://schemas.openxmlformats.org/officeDocument/2006/relationships/image" Target="../media/image9.png"/><Relationship Id="rId34" Type="http://schemas.openxmlformats.org/officeDocument/2006/relationships/image" Target="../media/image17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7" Type="http://schemas.openxmlformats.org/officeDocument/2006/relationships/image" Target="../media/image1.png"/><Relationship Id="rId2" Type="http://schemas.openxmlformats.org/officeDocument/2006/relationships/image" Target="../media/image4.svg"/><Relationship Id="rId16" Type="http://schemas.openxmlformats.org/officeDocument/2006/relationships/image" Target="../media/image34.svg"/><Relationship Id="rId29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26.svg"/><Relationship Id="rId11" Type="http://schemas.openxmlformats.org/officeDocument/2006/relationships/image" Target="../media/image29.png"/><Relationship Id="rId24" Type="http://schemas.openxmlformats.org/officeDocument/2006/relationships/image" Target="../media/image12.svg"/><Relationship Id="rId32" Type="http://schemas.openxmlformats.org/officeDocument/2006/relationships/image" Target="../media/image21.svg"/><Relationship Id="rId37" Type="http://schemas.openxmlformats.org/officeDocument/2006/relationships/image" Target="../media/image22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25.png"/><Relationship Id="rId15" Type="http://schemas.openxmlformats.org/officeDocument/2006/relationships/image" Target="../media/image33.png"/><Relationship Id="rId23" Type="http://schemas.openxmlformats.org/officeDocument/2006/relationships/image" Target="../media/image11.png"/><Relationship Id="rId28" Type="http://schemas.openxmlformats.org/officeDocument/2006/relationships/image" Target="../media/image14.svg"/><Relationship Id="rId36" Type="http://schemas.openxmlformats.org/officeDocument/2006/relationships/image" Target="../media/image38.svg"/><Relationship Id="rId10" Type="http://schemas.openxmlformats.org/officeDocument/2006/relationships/image" Target="../media/image28.svg"/><Relationship Id="rId19" Type="http://schemas.openxmlformats.org/officeDocument/2006/relationships/image" Target="../media/image7.png"/><Relationship Id="rId31" Type="http://schemas.openxmlformats.org/officeDocument/2006/relationships/image" Target="../media/image20.png"/><Relationship Id="rId44" Type="http://schemas.openxmlformats.org/officeDocument/2006/relationships/image" Target="../media/image45.png"/><Relationship Id="rId4" Type="http://schemas.openxmlformats.org/officeDocument/2006/relationships/image" Target="../media/image24.svg"/><Relationship Id="rId9" Type="http://schemas.openxmlformats.org/officeDocument/2006/relationships/image" Target="../media/image27.png"/><Relationship Id="rId14" Type="http://schemas.openxmlformats.org/officeDocument/2006/relationships/image" Target="../media/image32.svg"/><Relationship Id="rId22" Type="http://schemas.openxmlformats.org/officeDocument/2006/relationships/image" Target="../media/image10.svg"/><Relationship Id="rId27" Type="http://schemas.openxmlformats.org/officeDocument/2006/relationships/image" Target="../media/image13.png"/><Relationship Id="rId30" Type="http://schemas.openxmlformats.org/officeDocument/2006/relationships/image" Target="../media/image19.sv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8" Type="http://schemas.openxmlformats.org/officeDocument/2006/relationships/image" Target="../media/image2.svg"/><Relationship Id="rId3" Type="http://schemas.openxmlformats.org/officeDocument/2006/relationships/image" Target="../media/image23.png"/><Relationship Id="rId12" Type="http://schemas.openxmlformats.org/officeDocument/2006/relationships/image" Target="../media/image30.svg"/><Relationship Id="rId17" Type="http://schemas.openxmlformats.org/officeDocument/2006/relationships/image" Target="../media/image5.png"/><Relationship Id="rId25" Type="http://schemas.openxmlformats.org/officeDocument/2006/relationships/image" Target="../media/image35.png"/><Relationship Id="rId33" Type="http://schemas.openxmlformats.org/officeDocument/2006/relationships/image" Target="../media/image15.png"/><Relationship Id="rId38" Type="http://schemas.openxmlformats.org/officeDocument/2006/relationships/image" Target="../media/image39.png"/><Relationship Id="rId46" Type="http://schemas.openxmlformats.org/officeDocument/2006/relationships/image" Target="../media/image47.svg"/><Relationship Id="rId20" Type="http://schemas.openxmlformats.org/officeDocument/2006/relationships/image" Target="../media/image8.svg"/><Relationship Id="rId41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.png"/><Relationship Id="rId18" Type="http://schemas.openxmlformats.org/officeDocument/2006/relationships/image" Target="../media/image6.svg"/><Relationship Id="rId26" Type="http://schemas.openxmlformats.org/officeDocument/2006/relationships/image" Target="../media/image36.svg"/><Relationship Id="rId39" Type="http://schemas.openxmlformats.org/officeDocument/2006/relationships/image" Target="../media/image40.svg"/><Relationship Id="rId21" Type="http://schemas.openxmlformats.org/officeDocument/2006/relationships/image" Target="../media/image9.png"/><Relationship Id="rId34" Type="http://schemas.openxmlformats.org/officeDocument/2006/relationships/image" Target="../media/image17.png"/><Relationship Id="rId42" Type="http://schemas.openxmlformats.org/officeDocument/2006/relationships/image" Target="../media/image43.png"/><Relationship Id="rId47" Type="http://schemas.openxmlformats.org/officeDocument/2006/relationships/image" Target="../media/image49.png"/><Relationship Id="rId7" Type="http://schemas.openxmlformats.org/officeDocument/2006/relationships/image" Target="../media/image1.png"/><Relationship Id="rId2" Type="http://schemas.openxmlformats.org/officeDocument/2006/relationships/image" Target="../media/image4.svg"/><Relationship Id="rId16" Type="http://schemas.openxmlformats.org/officeDocument/2006/relationships/image" Target="../media/image34.svg"/><Relationship Id="rId29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26.svg"/><Relationship Id="rId11" Type="http://schemas.openxmlformats.org/officeDocument/2006/relationships/image" Target="../media/image29.png"/><Relationship Id="rId24" Type="http://schemas.openxmlformats.org/officeDocument/2006/relationships/image" Target="../media/image12.svg"/><Relationship Id="rId32" Type="http://schemas.openxmlformats.org/officeDocument/2006/relationships/image" Target="../media/image21.svg"/><Relationship Id="rId37" Type="http://schemas.openxmlformats.org/officeDocument/2006/relationships/image" Target="../media/image22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25.png"/><Relationship Id="rId15" Type="http://schemas.openxmlformats.org/officeDocument/2006/relationships/image" Target="../media/image33.png"/><Relationship Id="rId23" Type="http://schemas.openxmlformats.org/officeDocument/2006/relationships/image" Target="../media/image11.png"/><Relationship Id="rId28" Type="http://schemas.openxmlformats.org/officeDocument/2006/relationships/image" Target="../media/image14.svg"/><Relationship Id="rId36" Type="http://schemas.openxmlformats.org/officeDocument/2006/relationships/image" Target="../media/image38.svg"/><Relationship Id="rId10" Type="http://schemas.openxmlformats.org/officeDocument/2006/relationships/image" Target="../media/image28.svg"/><Relationship Id="rId19" Type="http://schemas.openxmlformats.org/officeDocument/2006/relationships/image" Target="../media/image7.png"/><Relationship Id="rId31" Type="http://schemas.openxmlformats.org/officeDocument/2006/relationships/image" Target="../media/image20.png"/><Relationship Id="rId44" Type="http://schemas.openxmlformats.org/officeDocument/2006/relationships/image" Target="../media/image45.png"/><Relationship Id="rId4" Type="http://schemas.openxmlformats.org/officeDocument/2006/relationships/image" Target="../media/image24.svg"/><Relationship Id="rId9" Type="http://schemas.openxmlformats.org/officeDocument/2006/relationships/image" Target="../media/image27.png"/><Relationship Id="rId14" Type="http://schemas.openxmlformats.org/officeDocument/2006/relationships/image" Target="../media/image32.svg"/><Relationship Id="rId22" Type="http://schemas.openxmlformats.org/officeDocument/2006/relationships/image" Target="../media/image10.svg"/><Relationship Id="rId27" Type="http://schemas.openxmlformats.org/officeDocument/2006/relationships/image" Target="../media/image13.png"/><Relationship Id="rId30" Type="http://schemas.openxmlformats.org/officeDocument/2006/relationships/image" Target="../media/image19.sv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8" Type="http://schemas.openxmlformats.org/officeDocument/2006/relationships/image" Target="../media/image2.svg"/><Relationship Id="rId3" Type="http://schemas.openxmlformats.org/officeDocument/2006/relationships/image" Target="../media/image23.png"/><Relationship Id="rId12" Type="http://schemas.openxmlformats.org/officeDocument/2006/relationships/image" Target="../media/image30.svg"/><Relationship Id="rId17" Type="http://schemas.openxmlformats.org/officeDocument/2006/relationships/image" Target="../media/image5.png"/><Relationship Id="rId25" Type="http://schemas.openxmlformats.org/officeDocument/2006/relationships/image" Target="../media/image35.png"/><Relationship Id="rId33" Type="http://schemas.openxmlformats.org/officeDocument/2006/relationships/image" Target="../media/image15.png"/><Relationship Id="rId38" Type="http://schemas.openxmlformats.org/officeDocument/2006/relationships/image" Target="../media/image39.png"/><Relationship Id="rId46" Type="http://schemas.openxmlformats.org/officeDocument/2006/relationships/image" Target="../media/image47.svg"/><Relationship Id="rId20" Type="http://schemas.openxmlformats.org/officeDocument/2006/relationships/image" Target="../media/image8.svg"/><Relationship Id="rId41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.png"/><Relationship Id="rId18" Type="http://schemas.openxmlformats.org/officeDocument/2006/relationships/image" Target="../media/image6.svg"/><Relationship Id="rId26" Type="http://schemas.openxmlformats.org/officeDocument/2006/relationships/image" Target="../media/image36.svg"/><Relationship Id="rId39" Type="http://schemas.openxmlformats.org/officeDocument/2006/relationships/image" Target="../media/image40.svg"/><Relationship Id="rId21" Type="http://schemas.openxmlformats.org/officeDocument/2006/relationships/image" Target="../media/image9.png"/><Relationship Id="rId34" Type="http://schemas.openxmlformats.org/officeDocument/2006/relationships/image" Target="../media/image17.png"/><Relationship Id="rId42" Type="http://schemas.openxmlformats.org/officeDocument/2006/relationships/image" Target="../media/image43.png"/><Relationship Id="rId47" Type="http://schemas.openxmlformats.org/officeDocument/2006/relationships/image" Target="../media/image50.png"/><Relationship Id="rId7" Type="http://schemas.openxmlformats.org/officeDocument/2006/relationships/image" Target="../media/image1.png"/><Relationship Id="rId2" Type="http://schemas.openxmlformats.org/officeDocument/2006/relationships/image" Target="../media/image4.svg"/><Relationship Id="rId16" Type="http://schemas.openxmlformats.org/officeDocument/2006/relationships/image" Target="../media/image34.svg"/><Relationship Id="rId29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26.svg"/><Relationship Id="rId11" Type="http://schemas.openxmlformats.org/officeDocument/2006/relationships/image" Target="../media/image29.png"/><Relationship Id="rId24" Type="http://schemas.openxmlformats.org/officeDocument/2006/relationships/image" Target="../media/image12.svg"/><Relationship Id="rId32" Type="http://schemas.openxmlformats.org/officeDocument/2006/relationships/image" Target="../media/image21.svg"/><Relationship Id="rId37" Type="http://schemas.openxmlformats.org/officeDocument/2006/relationships/image" Target="../media/image22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25.png"/><Relationship Id="rId15" Type="http://schemas.openxmlformats.org/officeDocument/2006/relationships/image" Target="../media/image33.png"/><Relationship Id="rId23" Type="http://schemas.openxmlformats.org/officeDocument/2006/relationships/image" Target="../media/image11.png"/><Relationship Id="rId28" Type="http://schemas.openxmlformats.org/officeDocument/2006/relationships/image" Target="../media/image14.svg"/><Relationship Id="rId36" Type="http://schemas.openxmlformats.org/officeDocument/2006/relationships/image" Target="../media/image38.svg"/><Relationship Id="rId10" Type="http://schemas.openxmlformats.org/officeDocument/2006/relationships/image" Target="../media/image28.svg"/><Relationship Id="rId19" Type="http://schemas.openxmlformats.org/officeDocument/2006/relationships/image" Target="../media/image7.png"/><Relationship Id="rId31" Type="http://schemas.openxmlformats.org/officeDocument/2006/relationships/image" Target="../media/image20.png"/><Relationship Id="rId44" Type="http://schemas.openxmlformats.org/officeDocument/2006/relationships/image" Target="../media/image45.png"/><Relationship Id="rId4" Type="http://schemas.openxmlformats.org/officeDocument/2006/relationships/image" Target="../media/image24.svg"/><Relationship Id="rId9" Type="http://schemas.openxmlformats.org/officeDocument/2006/relationships/image" Target="../media/image27.png"/><Relationship Id="rId14" Type="http://schemas.openxmlformats.org/officeDocument/2006/relationships/image" Target="../media/image32.svg"/><Relationship Id="rId22" Type="http://schemas.openxmlformats.org/officeDocument/2006/relationships/image" Target="../media/image10.svg"/><Relationship Id="rId27" Type="http://schemas.openxmlformats.org/officeDocument/2006/relationships/image" Target="../media/image13.png"/><Relationship Id="rId30" Type="http://schemas.openxmlformats.org/officeDocument/2006/relationships/image" Target="../media/image19.sv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8" Type="http://schemas.openxmlformats.org/officeDocument/2006/relationships/image" Target="../media/image2.svg"/><Relationship Id="rId3" Type="http://schemas.openxmlformats.org/officeDocument/2006/relationships/image" Target="../media/image23.png"/><Relationship Id="rId12" Type="http://schemas.openxmlformats.org/officeDocument/2006/relationships/image" Target="../media/image30.svg"/><Relationship Id="rId17" Type="http://schemas.openxmlformats.org/officeDocument/2006/relationships/image" Target="../media/image5.png"/><Relationship Id="rId25" Type="http://schemas.openxmlformats.org/officeDocument/2006/relationships/image" Target="../media/image35.png"/><Relationship Id="rId33" Type="http://schemas.openxmlformats.org/officeDocument/2006/relationships/image" Target="../media/image15.png"/><Relationship Id="rId38" Type="http://schemas.openxmlformats.org/officeDocument/2006/relationships/image" Target="../media/image39.png"/><Relationship Id="rId46" Type="http://schemas.openxmlformats.org/officeDocument/2006/relationships/image" Target="../media/image47.svg"/><Relationship Id="rId20" Type="http://schemas.openxmlformats.org/officeDocument/2006/relationships/image" Target="../media/image8.svg"/><Relationship Id="rId41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.png"/><Relationship Id="rId18" Type="http://schemas.openxmlformats.org/officeDocument/2006/relationships/image" Target="../media/image6.svg"/><Relationship Id="rId26" Type="http://schemas.openxmlformats.org/officeDocument/2006/relationships/image" Target="../media/image36.svg"/><Relationship Id="rId39" Type="http://schemas.openxmlformats.org/officeDocument/2006/relationships/image" Target="../media/image40.svg"/><Relationship Id="rId21" Type="http://schemas.openxmlformats.org/officeDocument/2006/relationships/image" Target="../media/image9.png"/><Relationship Id="rId34" Type="http://schemas.openxmlformats.org/officeDocument/2006/relationships/image" Target="../media/image17.png"/><Relationship Id="rId42" Type="http://schemas.openxmlformats.org/officeDocument/2006/relationships/image" Target="../media/image43.png"/><Relationship Id="rId47" Type="http://schemas.openxmlformats.org/officeDocument/2006/relationships/image" Target="../media/image49.png"/><Relationship Id="rId7" Type="http://schemas.openxmlformats.org/officeDocument/2006/relationships/image" Target="../media/image1.png"/><Relationship Id="rId2" Type="http://schemas.openxmlformats.org/officeDocument/2006/relationships/image" Target="../media/image4.svg"/><Relationship Id="rId16" Type="http://schemas.openxmlformats.org/officeDocument/2006/relationships/image" Target="../media/image34.svg"/><Relationship Id="rId29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26.svg"/><Relationship Id="rId11" Type="http://schemas.openxmlformats.org/officeDocument/2006/relationships/image" Target="../media/image29.png"/><Relationship Id="rId24" Type="http://schemas.openxmlformats.org/officeDocument/2006/relationships/image" Target="../media/image12.svg"/><Relationship Id="rId32" Type="http://schemas.openxmlformats.org/officeDocument/2006/relationships/image" Target="../media/image21.svg"/><Relationship Id="rId37" Type="http://schemas.openxmlformats.org/officeDocument/2006/relationships/image" Target="../media/image22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25.png"/><Relationship Id="rId15" Type="http://schemas.openxmlformats.org/officeDocument/2006/relationships/image" Target="../media/image33.png"/><Relationship Id="rId23" Type="http://schemas.openxmlformats.org/officeDocument/2006/relationships/image" Target="../media/image11.png"/><Relationship Id="rId28" Type="http://schemas.openxmlformats.org/officeDocument/2006/relationships/image" Target="../media/image14.svg"/><Relationship Id="rId36" Type="http://schemas.openxmlformats.org/officeDocument/2006/relationships/image" Target="../media/image38.svg"/><Relationship Id="rId10" Type="http://schemas.openxmlformats.org/officeDocument/2006/relationships/image" Target="../media/image28.svg"/><Relationship Id="rId19" Type="http://schemas.openxmlformats.org/officeDocument/2006/relationships/image" Target="../media/image7.png"/><Relationship Id="rId31" Type="http://schemas.openxmlformats.org/officeDocument/2006/relationships/image" Target="../media/image20.png"/><Relationship Id="rId44" Type="http://schemas.openxmlformats.org/officeDocument/2006/relationships/image" Target="../media/image45.png"/><Relationship Id="rId4" Type="http://schemas.openxmlformats.org/officeDocument/2006/relationships/image" Target="../media/image24.svg"/><Relationship Id="rId9" Type="http://schemas.openxmlformats.org/officeDocument/2006/relationships/image" Target="../media/image27.png"/><Relationship Id="rId14" Type="http://schemas.openxmlformats.org/officeDocument/2006/relationships/image" Target="../media/image32.svg"/><Relationship Id="rId22" Type="http://schemas.openxmlformats.org/officeDocument/2006/relationships/image" Target="../media/image10.svg"/><Relationship Id="rId27" Type="http://schemas.openxmlformats.org/officeDocument/2006/relationships/image" Target="../media/image13.png"/><Relationship Id="rId30" Type="http://schemas.openxmlformats.org/officeDocument/2006/relationships/image" Target="../media/image19.sv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8" Type="http://schemas.openxmlformats.org/officeDocument/2006/relationships/image" Target="../media/image2.svg"/><Relationship Id="rId3" Type="http://schemas.openxmlformats.org/officeDocument/2006/relationships/image" Target="../media/image23.png"/><Relationship Id="rId12" Type="http://schemas.openxmlformats.org/officeDocument/2006/relationships/image" Target="../media/image30.svg"/><Relationship Id="rId17" Type="http://schemas.openxmlformats.org/officeDocument/2006/relationships/image" Target="../media/image5.png"/><Relationship Id="rId25" Type="http://schemas.openxmlformats.org/officeDocument/2006/relationships/image" Target="../media/image35.png"/><Relationship Id="rId33" Type="http://schemas.openxmlformats.org/officeDocument/2006/relationships/image" Target="../media/image15.png"/><Relationship Id="rId38" Type="http://schemas.openxmlformats.org/officeDocument/2006/relationships/image" Target="../media/image39.png"/><Relationship Id="rId46" Type="http://schemas.openxmlformats.org/officeDocument/2006/relationships/image" Target="../media/image47.svg"/><Relationship Id="rId20" Type="http://schemas.openxmlformats.org/officeDocument/2006/relationships/image" Target="../media/image8.svg"/><Relationship Id="rId41" Type="http://schemas.openxmlformats.org/officeDocument/2006/relationships/image" Target="../media/image4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2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30479</xdr:colOff>
      <xdr:row>31</xdr:row>
      <xdr:rowOff>137159</xdr:rowOff>
    </xdr:from>
    <xdr:to>
      <xdr:col>10</xdr:col>
      <xdr:colOff>316229</xdr:colOff>
      <xdr:row>37</xdr:row>
      <xdr:rowOff>49529</xdr:rowOff>
    </xdr:to>
    <xdr:pic>
      <xdr:nvPicPr>
        <xdr:cNvPr id="3" name="Graphic 51">
          <a:extLst>
            <a:ext uri="{FF2B5EF4-FFF2-40B4-BE49-F238E27FC236}">
              <a16:creationId xmlns:a16="http://schemas.microsoft.com/office/drawing/2014/main" id="{16D3BA7B-6C39-4A77-9FBB-782EB119A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49679" y="5806439"/>
          <a:ext cx="516255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49</xdr:row>
      <xdr:rowOff>76200</xdr:rowOff>
    </xdr:from>
    <xdr:to>
      <xdr:col>7</xdr:col>
      <xdr:colOff>365760</xdr:colOff>
      <xdr:row>53</xdr:row>
      <xdr:rowOff>163830</xdr:rowOff>
    </xdr:to>
    <xdr:pic>
      <xdr:nvPicPr>
        <xdr:cNvPr id="4" name="Graphic 51">
          <a:extLst>
            <a:ext uri="{FF2B5EF4-FFF2-40B4-BE49-F238E27FC236}">
              <a16:creationId xmlns:a16="http://schemas.microsoft.com/office/drawing/2014/main" id="{5FF24686-2DED-45F0-8654-8BABAFA7D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03960" y="7757160"/>
          <a:ext cx="3429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601980</xdr:colOff>
      <xdr:row>63</xdr:row>
      <xdr:rowOff>76200</xdr:rowOff>
    </xdr:from>
    <xdr:to>
      <xdr:col>4</xdr:col>
      <xdr:colOff>544830</xdr:colOff>
      <xdr:row>66</xdr:row>
      <xdr:rowOff>41910</xdr:rowOff>
    </xdr:to>
    <xdr:pic>
      <xdr:nvPicPr>
        <xdr:cNvPr id="5" name="Graphic 2">
          <a:extLst>
            <a:ext uri="{FF2B5EF4-FFF2-40B4-BE49-F238E27FC236}">
              <a16:creationId xmlns:a16="http://schemas.microsoft.com/office/drawing/2014/main" id="{9A9E1CD7-07DB-49C4-A0E2-B719F0871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1580" y="8671560"/>
          <a:ext cx="177165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30478</xdr:colOff>
      <xdr:row>68</xdr:row>
      <xdr:rowOff>175259</xdr:rowOff>
    </xdr:from>
    <xdr:to>
      <xdr:col>7</xdr:col>
      <xdr:colOff>392428</xdr:colOff>
      <xdr:row>73</xdr:row>
      <xdr:rowOff>175259</xdr:rowOff>
    </xdr:to>
    <xdr:pic>
      <xdr:nvPicPr>
        <xdr:cNvPr id="6" name="Graphic 11">
          <a:extLst>
            <a:ext uri="{FF2B5EF4-FFF2-40B4-BE49-F238E27FC236}">
              <a16:creationId xmlns:a16="http://schemas.microsoft.com/office/drawing/2014/main" id="{29DD88FF-483F-4DD0-8F90-F4BCBEBF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249678" y="9685019"/>
          <a:ext cx="340995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</xdr:colOff>
      <xdr:row>74</xdr:row>
      <xdr:rowOff>152400</xdr:rowOff>
    </xdr:from>
    <xdr:to>
      <xdr:col>4</xdr:col>
      <xdr:colOff>140969</xdr:colOff>
      <xdr:row>79</xdr:row>
      <xdr:rowOff>57150</xdr:rowOff>
    </xdr:to>
    <xdr:pic>
      <xdr:nvPicPr>
        <xdr:cNvPr id="7" name="Graphic 17">
          <a:extLst>
            <a:ext uri="{FF2B5EF4-FFF2-40B4-BE49-F238E27FC236}">
              <a16:creationId xmlns:a16="http://schemas.microsoft.com/office/drawing/2014/main" id="{0721FD99-A917-4587-B5C0-D797743D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64919" y="10759440"/>
          <a:ext cx="13144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601979</xdr:colOff>
      <xdr:row>81</xdr:row>
      <xdr:rowOff>0</xdr:rowOff>
    </xdr:from>
    <xdr:to>
      <xdr:col>6</xdr:col>
      <xdr:colOff>316229</xdr:colOff>
      <xdr:row>85</xdr:row>
      <xdr:rowOff>106680</xdr:rowOff>
    </xdr:to>
    <xdr:pic>
      <xdr:nvPicPr>
        <xdr:cNvPr id="8" name="Graphic 3">
          <a:extLst>
            <a:ext uri="{FF2B5EF4-FFF2-40B4-BE49-F238E27FC236}">
              <a16:creationId xmlns:a16="http://schemas.microsoft.com/office/drawing/2014/main" id="{E8590E1B-2FAD-42EA-A6D0-8DD53E2D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211579" y="11887200"/>
          <a:ext cx="276225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518159</xdr:colOff>
      <xdr:row>86</xdr:row>
      <xdr:rowOff>22860</xdr:rowOff>
    </xdr:from>
    <xdr:to>
      <xdr:col>6</xdr:col>
      <xdr:colOff>41909</xdr:colOff>
      <xdr:row>90</xdr:row>
      <xdr:rowOff>129540</xdr:rowOff>
    </xdr:to>
    <xdr:pic>
      <xdr:nvPicPr>
        <xdr:cNvPr id="9" name="Graphic 6">
          <a:extLst>
            <a:ext uri="{FF2B5EF4-FFF2-40B4-BE49-F238E27FC236}">
              <a16:creationId xmlns:a16="http://schemas.microsoft.com/office/drawing/2014/main" id="{40A00DBE-3F20-4D45-ABC4-1554D387A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127759" y="12824460"/>
          <a:ext cx="257175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</xdr:colOff>
      <xdr:row>99</xdr:row>
      <xdr:rowOff>83819</xdr:rowOff>
    </xdr:from>
    <xdr:to>
      <xdr:col>4</xdr:col>
      <xdr:colOff>521353</xdr:colOff>
      <xdr:row>103</xdr:row>
      <xdr:rowOff>1579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1BF2037-9B11-46AA-A2AA-D6FD55A5A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39" y="13068299"/>
          <a:ext cx="1687214" cy="64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594360</xdr:colOff>
      <xdr:row>55</xdr:row>
      <xdr:rowOff>38100</xdr:rowOff>
    </xdr:from>
    <xdr:to>
      <xdr:col>7</xdr:col>
      <xdr:colOff>487680</xdr:colOff>
      <xdr:row>56</xdr:row>
      <xdr:rowOff>137160</xdr:rowOff>
    </xdr:to>
    <xdr:sp macro="" textlink="">
      <xdr:nvSpPr>
        <xdr:cNvPr id="13" name="Right Brace 12">
          <a:extLst>
            <a:ext uri="{FF2B5EF4-FFF2-40B4-BE49-F238E27FC236}">
              <a16:creationId xmlns:a16="http://schemas.microsoft.com/office/drawing/2014/main" id="{E5E648D8-E0F1-4B9B-A261-7EE2C1F7B2DE}"/>
            </a:ext>
          </a:extLst>
        </xdr:cNvPr>
        <xdr:cNvSpPr/>
      </xdr:nvSpPr>
      <xdr:spPr>
        <a:xfrm rot="5400000">
          <a:off x="3143250" y="8766810"/>
          <a:ext cx="281940" cy="294132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266700</xdr:colOff>
      <xdr:row>33</xdr:row>
      <xdr:rowOff>60960</xdr:rowOff>
    </xdr:from>
    <xdr:to>
      <xdr:col>17</xdr:col>
      <xdr:colOff>220980</xdr:colOff>
      <xdr:row>35</xdr:row>
      <xdr:rowOff>144780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32F521E-CEDB-463D-890D-AB89638CC946}"/>
            </a:ext>
          </a:extLst>
        </xdr:cNvPr>
        <xdr:cNvSpPr txBox="1"/>
      </xdr:nvSpPr>
      <xdr:spPr>
        <a:xfrm>
          <a:off x="7581900" y="6096000"/>
          <a:ext cx="3002280" cy="4495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Monoplane equation</a:t>
          </a:r>
        </a:p>
      </xdr:txBody>
    </xdr:sp>
    <xdr:clientData/>
  </xdr:twoCellAnchor>
  <xdr:twoCellAnchor editAs="oneCell">
    <xdr:from>
      <xdr:col>7</xdr:col>
      <xdr:colOff>480060</xdr:colOff>
      <xdr:row>39</xdr:row>
      <xdr:rowOff>167640</xdr:rowOff>
    </xdr:from>
    <xdr:to>
      <xdr:col>12</xdr:col>
      <xdr:colOff>464820</xdr:colOff>
      <xdr:row>42</xdr:row>
      <xdr:rowOff>53340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2927988-8E0B-471B-A653-15790FAE8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7260" y="7299960"/>
          <a:ext cx="303276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198120</xdr:colOff>
      <xdr:row>1</xdr:row>
      <xdr:rowOff>22860</xdr:rowOff>
    </xdr:from>
    <xdr:to>
      <xdr:col>12</xdr:col>
      <xdr:colOff>480060</xdr:colOff>
      <xdr:row>29</xdr:row>
      <xdr:rowOff>91302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24EA117-CC02-44F3-86FE-9BA6E69D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720" y="205740"/>
          <a:ext cx="6987540" cy="5189082"/>
        </a:xfrm>
        <a:prstGeom prst="rect">
          <a:avLst/>
        </a:prstGeom>
      </xdr:spPr>
    </xdr:pic>
    <xdr:clientData/>
  </xdr:twoCellAnchor>
  <xdr:twoCellAnchor>
    <xdr:from>
      <xdr:col>6</xdr:col>
      <xdr:colOff>15240</xdr:colOff>
      <xdr:row>47</xdr:row>
      <xdr:rowOff>0</xdr:rowOff>
    </xdr:from>
    <xdr:to>
      <xdr:col>6</xdr:col>
      <xdr:colOff>411480</xdr:colOff>
      <xdr:row>50</xdr:row>
      <xdr:rowOff>7620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425B9C81-44A6-447B-A7D4-81821B2A9981}"/>
            </a:ext>
          </a:extLst>
        </xdr:cNvPr>
        <xdr:cNvCxnSpPr>
          <a:stCxn id="19" idx="1"/>
        </xdr:cNvCxnSpPr>
      </xdr:nvCxnSpPr>
      <xdr:spPr>
        <a:xfrm flipH="1">
          <a:off x="3672840" y="8595360"/>
          <a:ext cx="396240" cy="5562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411480</xdr:colOff>
      <xdr:row>46</xdr:row>
      <xdr:rowOff>53340</xdr:rowOff>
    </xdr:from>
    <xdr:to>
      <xdr:col>8</xdr:col>
      <xdr:colOff>480060</xdr:colOff>
      <xdr:row>47</xdr:row>
      <xdr:rowOff>129540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E2A10F-7E7B-4A17-9814-D01487516424}"/>
            </a:ext>
          </a:extLst>
        </xdr:cNvPr>
        <xdr:cNvSpPr txBox="1"/>
      </xdr:nvSpPr>
      <xdr:spPr>
        <a:xfrm>
          <a:off x="4069080" y="8465820"/>
          <a:ext cx="1287780" cy="259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Lift curve slope</a:t>
          </a:r>
        </a:p>
      </xdr:txBody>
    </xdr:sp>
    <xdr:clientData/>
  </xdr:twoCellAnchor>
  <xdr:twoCellAnchor editAs="oneCell">
    <xdr:from>
      <xdr:col>1</xdr:col>
      <xdr:colOff>510540</xdr:colOff>
      <xdr:row>107</xdr:row>
      <xdr:rowOff>114300</xdr:rowOff>
    </xdr:from>
    <xdr:to>
      <xdr:col>6</xdr:col>
      <xdr:colOff>500285</xdr:colOff>
      <xdr:row>112</xdr:row>
      <xdr:rowOff>158115</xdr:rowOff>
    </xdr:to>
    <xdr:pic>
      <xdr:nvPicPr>
        <xdr:cNvPr id="20" name="Graphic 4">
          <a:extLst>
            <a:ext uri="{FF2B5EF4-FFF2-40B4-BE49-F238E27FC236}">
              <a16:creationId xmlns:a16="http://schemas.microsoft.com/office/drawing/2014/main" id="{02C75F3A-EB83-4F54-A6C1-B2A9EC9E1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120140" y="14561820"/>
          <a:ext cx="3037745" cy="958215"/>
        </a:xfrm>
        <a:prstGeom prst="rect">
          <a:avLst/>
        </a:prstGeom>
      </xdr:spPr>
    </xdr:pic>
    <xdr:clientData/>
  </xdr:twoCellAnchor>
  <xdr:twoCellAnchor editAs="oneCell">
    <xdr:from>
      <xdr:col>1</xdr:col>
      <xdr:colOff>541020</xdr:colOff>
      <xdr:row>116</xdr:row>
      <xdr:rowOff>137160</xdr:rowOff>
    </xdr:from>
    <xdr:to>
      <xdr:col>4</xdr:col>
      <xdr:colOff>254742</xdr:colOff>
      <xdr:row>120</xdr:row>
      <xdr:rowOff>66721</xdr:rowOff>
    </xdr:to>
    <xdr:pic>
      <xdr:nvPicPr>
        <xdr:cNvPr id="21" name="Graphic 6">
          <a:extLst>
            <a:ext uri="{FF2B5EF4-FFF2-40B4-BE49-F238E27FC236}">
              <a16:creationId xmlns:a16="http://schemas.microsoft.com/office/drawing/2014/main" id="{8DAD843C-F247-47CD-832F-DC60DA0BC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50620" y="16230600"/>
          <a:ext cx="1542522" cy="661081"/>
        </a:xfrm>
        <a:prstGeom prst="rect">
          <a:avLst/>
        </a:prstGeom>
      </xdr:spPr>
    </xdr:pic>
    <xdr:clientData/>
  </xdr:twoCellAnchor>
  <xdr:twoCellAnchor>
    <xdr:from>
      <xdr:col>9</xdr:col>
      <xdr:colOff>485140</xdr:colOff>
      <xdr:row>109</xdr:row>
      <xdr:rowOff>76200</xdr:rowOff>
    </xdr:from>
    <xdr:to>
      <xdr:col>13</xdr:col>
      <xdr:colOff>50800</xdr:colOff>
      <xdr:row>111</xdr:row>
      <xdr:rowOff>129540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7806945-09DA-4EEF-8E99-6F5D76F0135D}"/>
            </a:ext>
          </a:extLst>
        </xdr:cNvPr>
        <xdr:cNvSpPr txBox="1"/>
      </xdr:nvSpPr>
      <xdr:spPr>
        <a:xfrm>
          <a:off x="5971540" y="14889480"/>
          <a:ext cx="200406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Downwash</a:t>
          </a:r>
        </a:p>
      </xdr:txBody>
    </xdr:sp>
    <xdr:clientData/>
  </xdr:twoCellAnchor>
  <xdr:twoCellAnchor>
    <xdr:from>
      <xdr:col>9</xdr:col>
      <xdr:colOff>469900</xdr:colOff>
      <xdr:row>117</xdr:row>
      <xdr:rowOff>68580</xdr:rowOff>
    </xdr:from>
    <xdr:to>
      <xdr:col>13</xdr:col>
      <xdr:colOff>35560</xdr:colOff>
      <xdr:row>119</xdr:row>
      <xdr:rowOff>121920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B61889-8003-4315-80CA-3AAF342887FA}"/>
            </a:ext>
          </a:extLst>
        </xdr:cNvPr>
        <xdr:cNvSpPr txBox="1"/>
      </xdr:nvSpPr>
      <xdr:spPr>
        <a:xfrm>
          <a:off x="5956300" y="16344900"/>
          <a:ext cx="200406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Induced angle</a:t>
          </a:r>
        </a:p>
      </xdr:txBody>
    </xdr:sp>
    <xdr:clientData/>
  </xdr:twoCellAnchor>
  <xdr:twoCellAnchor>
    <xdr:from>
      <xdr:col>7</xdr:col>
      <xdr:colOff>0</xdr:colOff>
      <xdr:row>110</xdr:row>
      <xdr:rowOff>96520</xdr:rowOff>
    </xdr:from>
    <xdr:to>
      <xdr:col>9</xdr:col>
      <xdr:colOff>408940</xdr:colOff>
      <xdr:row>110</xdr:row>
      <xdr:rowOff>96520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6E37A65F-9659-445D-84D4-342113DA2A9A}"/>
            </a:ext>
          </a:extLst>
        </xdr:cNvPr>
        <xdr:cNvCxnSpPr/>
      </xdr:nvCxnSpPr>
      <xdr:spPr>
        <a:xfrm flipH="1">
          <a:off x="4267200" y="15092680"/>
          <a:ext cx="162814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335280</xdr:colOff>
      <xdr:row>118</xdr:row>
      <xdr:rowOff>96520</xdr:rowOff>
    </xdr:from>
    <xdr:to>
      <xdr:col>9</xdr:col>
      <xdr:colOff>416560</xdr:colOff>
      <xdr:row>118</xdr:row>
      <xdr:rowOff>96520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11B3550E-B029-4944-B3FD-3ACC6D3BD788}"/>
            </a:ext>
          </a:extLst>
        </xdr:cNvPr>
        <xdr:cNvCxnSpPr/>
      </xdr:nvCxnSpPr>
      <xdr:spPr>
        <a:xfrm flipH="1">
          <a:off x="2773680" y="16555720"/>
          <a:ext cx="312928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213360</xdr:colOff>
      <xdr:row>64</xdr:row>
      <xdr:rowOff>180340</xdr:rowOff>
    </xdr:from>
    <xdr:to>
      <xdr:col>8</xdr:col>
      <xdr:colOff>12700</xdr:colOff>
      <xdr:row>64</xdr:row>
      <xdr:rowOff>180340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F3D00E8C-782C-4194-8F3C-9C781BB9BD7F}"/>
            </a:ext>
          </a:extLst>
        </xdr:cNvPr>
        <xdr:cNvCxnSpPr/>
      </xdr:nvCxnSpPr>
      <xdr:spPr>
        <a:xfrm flipH="1">
          <a:off x="3261360" y="8958580"/>
          <a:ext cx="162814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160020</xdr:colOff>
      <xdr:row>63</xdr:row>
      <xdr:rowOff>144780</xdr:rowOff>
    </xdr:from>
    <xdr:to>
      <xdr:col>16</xdr:col>
      <xdr:colOff>182880</xdr:colOff>
      <xdr:row>66</xdr:row>
      <xdr:rowOff>15240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502BA33-B42D-415C-AF30-31ABF4B0D39A}"/>
            </a:ext>
          </a:extLst>
        </xdr:cNvPr>
        <xdr:cNvSpPr txBox="1"/>
      </xdr:nvSpPr>
      <xdr:spPr>
        <a:xfrm>
          <a:off x="5036820" y="8740140"/>
          <a:ext cx="489966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Lift coefficient</a:t>
          </a:r>
          <a:r>
            <a:rPr lang="en-US" sz="1400" baseline="0">
              <a:latin typeface="Arial" panose="020B0604020202020204" pitchFamily="34" charset="0"/>
              <a:cs typeface="Arial" panose="020B0604020202020204" pitchFamily="34" charset="0"/>
            </a:rPr>
            <a:t> - A1 contain all the information related to lift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541020</xdr:colOff>
      <xdr:row>71</xdr:row>
      <xdr:rowOff>88900</xdr:rowOff>
    </xdr:from>
    <xdr:to>
      <xdr:col>9</xdr:col>
      <xdr:colOff>144780</xdr:colOff>
      <xdr:row>71</xdr:row>
      <xdr:rowOff>88900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A192B7CC-2C59-4EBA-BE59-CE796A8BA0A8}"/>
            </a:ext>
          </a:extLst>
        </xdr:cNvPr>
        <xdr:cNvCxnSpPr/>
      </xdr:nvCxnSpPr>
      <xdr:spPr>
        <a:xfrm flipH="1">
          <a:off x="4808220" y="10147300"/>
          <a:ext cx="82296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213360</xdr:colOff>
      <xdr:row>70</xdr:row>
      <xdr:rowOff>60960</xdr:rowOff>
    </xdr:from>
    <xdr:to>
      <xdr:col>17</xdr:col>
      <xdr:colOff>236220</xdr:colOff>
      <xdr:row>72</xdr:row>
      <xdr:rowOff>114300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4A505BC-982B-42EA-97D1-CCA9280067CE}"/>
            </a:ext>
          </a:extLst>
        </xdr:cNvPr>
        <xdr:cNvSpPr txBox="1"/>
      </xdr:nvSpPr>
      <xdr:spPr>
        <a:xfrm>
          <a:off x="5699760" y="9936480"/>
          <a:ext cx="489966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Arial" panose="020B0604020202020204" pitchFamily="34" charset="0"/>
              <a:cs typeface="Arial" panose="020B0604020202020204" pitchFamily="34" charset="0"/>
            </a:rPr>
            <a:t>Induce drag factor - It depends on A1, A3, A5, A7...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190500</xdr:colOff>
      <xdr:row>77</xdr:row>
      <xdr:rowOff>50800</xdr:rowOff>
    </xdr:from>
    <xdr:to>
      <xdr:col>5</xdr:col>
      <xdr:colOff>403860</xdr:colOff>
      <xdr:row>77</xdr:row>
      <xdr:rowOff>50800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2D4F7809-D667-47CD-B169-54D29F4F8057}"/>
            </a:ext>
          </a:extLst>
        </xdr:cNvPr>
        <xdr:cNvCxnSpPr/>
      </xdr:nvCxnSpPr>
      <xdr:spPr>
        <a:xfrm flipH="1">
          <a:off x="2628900" y="11206480"/>
          <a:ext cx="82296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563880</xdr:colOff>
      <xdr:row>76</xdr:row>
      <xdr:rowOff>38100</xdr:rowOff>
    </xdr:from>
    <xdr:to>
      <xdr:col>9</xdr:col>
      <xdr:colOff>594360</xdr:colOff>
      <xdr:row>78</xdr:row>
      <xdr:rowOff>91440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20A624D-C04E-4892-B4FA-26C95B59E64C}"/>
            </a:ext>
          </a:extLst>
        </xdr:cNvPr>
        <xdr:cNvSpPr txBox="1"/>
      </xdr:nvSpPr>
      <xdr:spPr>
        <a:xfrm>
          <a:off x="3611880" y="11010900"/>
          <a:ext cx="246888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Arial" panose="020B0604020202020204" pitchFamily="34" charset="0"/>
              <a:cs typeface="Arial" panose="020B0604020202020204" pitchFamily="34" charset="0"/>
            </a:rPr>
            <a:t>Oswald span efficiency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480059</xdr:colOff>
      <xdr:row>81</xdr:row>
      <xdr:rowOff>7620</xdr:rowOff>
    </xdr:from>
    <xdr:to>
      <xdr:col>7</xdr:col>
      <xdr:colOff>144780</xdr:colOff>
      <xdr:row>95</xdr:row>
      <xdr:rowOff>129540</xdr:rowOff>
    </xdr:to>
    <xdr:sp macro="" textlink="">
      <xdr:nvSpPr>
        <xdr:cNvPr id="33" name="Right Brace 32">
          <a:extLst>
            <a:ext uri="{FF2B5EF4-FFF2-40B4-BE49-F238E27FC236}">
              <a16:creationId xmlns:a16="http://schemas.microsoft.com/office/drawing/2014/main" id="{BA39C432-862E-4067-B07E-3ABA36E20779}"/>
            </a:ext>
          </a:extLst>
        </xdr:cNvPr>
        <xdr:cNvSpPr/>
      </xdr:nvSpPr>
      <xdr:spPr>
        <a:xfrm>
          <a:off x="4137659" y="14455140"/>
          <a:ext cx="274321" cy="268224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358140</xdr:colOff>
      <xdr:row>88</xdr:row>
      <xdr:rowOff>66040</xdr:rowOff>
    </xdr:from>
    <xdr:to>
      <xdr:col>8</xdr:col>
      <xdr:colOff>571500</xdr:colOff>
      <xdr:row>88</xdr:row>
      <xdr:rowOff>66040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E311AB78-7F13-4D0A-A942-04B39156D72D}"/>
            </a:ext>
          </a:extLst>
        </xdr:cNvPr>
        <xdr:cNvCxnSpPr/>
      </xdr:nvCxnSpPr>
      <xdr:spPr>
        <a:xfrm flipH="1">
          <a:off x="4625340" y="15793720"/>
          <a:ext cx="82296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68580</xdr:colOff>
      <xdr:row>87</xdr:row>
      <xdr:rowOff>45720</xdr:rowOff>
    </xdr:from>
    <xdr:to>
      <xdr:col>13</xdr:col>
      <xdr:colOff>99060</xdr:colOff>
      <xdr:row>89</xdr:row>
      <xdr:rowOff>99060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84D5551-E51F-485E-84BC-B46D4599EC9D}"/>
            </a:ext>
          </a:extLst>
        </xdr:cNvPr>
        <xdr:cNvSpPr txBox="1"/>
      </xdr:nvSpPr>
      <xdr:spPr>
        <a:xfrm>
          <a:off x="5554980" y="15590520"/>
          <a:ext cx="246888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Arial" panose="020B0604020202020204" pitchFamily="34" charset="0"/>
              <a:cs typeface="Arial" panose="020B0604020202020204" pitchFamily="34" charset="0"/>
            </a:rPr>
            <a:t>Induced drag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68580</xdr:colOff>
      <xdr:row>101</xdr:row>
      <xdr:rowOff>27940</xdr:rowOff>
    </xdr:from>
    <xdr:to>
      <xdr:col>6</xdr:col>
      <xdr:colOff>281940</xdr:colOff>
      <xdr:row>101</xdr:row>
      <xdr:rowOff>27940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FDD07B9F-6D93-4C46-8A3D-68904D6FC13A}"/>
            </a:ext>
          </a:extLst>
        </xdr:cNvPr>
        <xdr:cNvCxnSpPr/>
      </xdr:nvCxnSpPr>
      <xdr:spPr>
        <a:xfrm flipH="1">
          <a:off x="3116580" y="14658340"/>
          <a:ext cx="82296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487680</xdr:colOff>
      <xdr:row>100</xdr:row>
      <xdr:rowOff>7620</xdr:rowOff>
    </xdr:from>
    <xdr:to>
      <xdr:col>10</xdr:col>
      <xdr:colOff>518160</xdr:colOff>
      <xdr:row>102</xdr:row>
      <xdr:rowOff>60960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F168E3D-EB12-4F59-87FD-430B72926181}"/>
            </a:ext>
          </a:extLst>
        </xdr:cNvPr>
        <xdr:cNvSpPr txBox="1"/>
      </xdr:nvSpPr>
      <xdr:spPr>
        <a:xfrm>
          <a:off x="4145280" y="14455140"/>
          <a:ext cx="246888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Arial" panose="020B0604020202020204" pitchFamily="34" charset="0"/>
              <a:cs typeface="Arial" panose="020B0604020202020204" pitchFamily="34" charset="0"/>
            </a:rPr>
            <a:t>Lift curve slope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312420</xdr:colOff>
      <xdr:row>34</xdr:row>
      <xdr:rowOff>111760</xdr:rowOff>
    </xdr:from>
    <xdr:to>
      <xdr:col>12</xdr:col>
      <xdr:colOff>121920</xdr:colOff>
      <xdr:row>34</xdr:row>
      <xdr:rowOff>111760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30180FF-0320-401E-A08D-8A4B89C96EE6}"/>
            </a:ext>
          </a:extLst>
        </xdr:cNvPr>
        <xdr:cNvCxnSpPr/>
      </xdr:nvCxnSpPr>
      <xdr:spPr>
        <a:xfrm flipH="1">
          <a:off x="6408420" y="6329680"/>
          <a:ext cx="102870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91440</xdr:colOff>
      <xdr:row>57</xdr:row>
      <xdr:rowOff>137160</xdr:rowOff>
    </xdr:from>
    <xdr:to>
      <xdr:col>9</xdr:col>
      <xdr:colOff>350520</xdr:colOff>
      <xdr:row>59</xdr:row>
      <xdr:rowOff>30480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F3DB6B6-E475-4D47-9E74-4F7FC861CF81}"/>
            </a:ext>
          </a:extLst>
        </xdr:cNvPr>
        <xdr:cNvSpPr txBox="1"/>
      </xdr:nvSpPr>
      <xdr:spPr>
        <a:xfrm>
          <a:off x="701040" y="10561320"/>
          <a:ext cx="5135880" cy="259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All aerodynamic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and geometrical information is contained in this term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53340</xdr:colOff>
      <xdr:row>40</xdr:row>
      <xdr:rowOff>7620</xdr:rowOff>
    </xdr:from>
    <xdr:to>
      <xdr:col>22</xdr:col>
      <xdr:colOff>7620</xdr:colOff>
      <xdr:row>41</xdr:row>
      <xdr:rowOff>175260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4C90B36C-B63B-4C9A-9714-718CDD8E9D1D}"/>
            </a:ext>
          </a:extLst>
        </xdr:cNvPr>
        <xdr:cNvSpPr txBox="1"/>
      </xdr:nvSpPr>
      <xdr:spPr>
        <a:xfrm>
          <a:off x="8587740" y="7322820"/>
          <a:ext cx="4831080" cy="3505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For symmetrical loading we only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take into account the odd terms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38100</xdr:colOff>
      <xdr:row>40</xdr:row>
      <xdr:rowOff>15240</xdr:rowOff>
    </xdr:from>
    <xdr:to>
      <xdr:col>7</xdr:col>
      <xdr:colOff>411480</xdr:colOff>
      <xdr:row>42</xdr:row>
      <xdr:rowOff>7620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9AF385D-0F15-4C2B-901F-6A02C6C3A4D4}"/>
            </a:ext>
          </a:extLst>
        </xdr:cNvPr>
        <xdr:cNvSpPr txBox="1"/>
      </xdr:nvSpPr>
      <xdr:spPr>
        <a:xfrm>
          <a:off x="1257300" y="7330440"/>
          <a:ext cx="3421380" cy="3581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In the Monoplane equation we solve for</a:t>
          </a:r>
        </a:p>
      </xdr:txBody>
    </xdr:sp>
    <xdr:clientData/>
  </xdr:twoCellAnchor>
  <xdr:twoCellAnchor>
    <xdr:from>
      <xdr:col>12</xdr:col>
      <xdr:colOff>533400</xdr:colOff>
      <xdr:row>40</xdr:row>
      <xdr:rowOff>180340</xdr:rowOff>
    </xdr:from>
    <xdr:to>
      <xdr:col>13</xdr:col>
      <xdr:colOff>579120</xdr:colOff>
      <xdr:row>40</xdr:row>
      <xdr:rowOff>180340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D373613E-62B0-4288-9499-F21076CD0CC4}"/>
            </a:ext>
          </a:extLst>
        </xdr:cNvPr>
        <xdr:cNvCxnSpPr/>
      </xdr:nvCxnSpPr>
      <xdr:spPr>
        <a:xfrm flipH="1">
          <a:off x="7848600" y="7495540"/>
          <a:ext cx="6553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</xdr:colOff>
      <xdr:row>36</xdr:row>
      <xdr:rowOff>60960</xdr:rowOff>
    </xdr:from>
    <xdr:to>
      <xdr:col>10</xdr:col>
      <xdr:colOff>281940</xdr:colOff>
      <xdr:row>39</xdr:row>
      <xdr:rowOff>15240</xdr:rowOff>
    </xdr:to>
    <xdr:sp macro="" textlink="">
      <xdr:nvSpPr>
        <xdr:cNvPr id="47" name="Right Brace 46">
          <a:extLst>
            <a:ext uri="{FF2B5EF4-FFF2-40B4-BE49-F238E27FC236}">
              <a16:creationId xmlns:a16="http://schemas.microsoft.com/office/drawing/2014/main" id="{8E9D82FF-3927-4271-9E69-26BB273BC18C}"/>
            </a:ext>
          </a:extLst>
        </xdr:cNvPr>
        <xdr:cNvSpPr/>
      </xdr:nvSpPr>
      <xdr:spPr>
        <a:xfrm rot="5400000">
          <a:off x="3562350" y="4331970"/>
          <a:ext cx="502920" cy="5128260"/>
        </a:xfrm>
        <a:prstGeom prst="rightBrace">
          <a:avLst>
            <a:gd name="adj1" fmla="val 8333"/>
            <a:gd name="adj2" fmla="val 66790"/>
          </a:avLst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228600</xdr:colOff>
      <xdr:row>46</xdr:row>
      <xdr:rowOff>38100</xdr:rowOff>
    </xdr:from>
    <xdr:to>
      <xdr:col>4</xdr:col>
      <xdr:colOff>53340</xdr:colOff>
      <xdr:row>47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95F82D40-31CC-4AE3-BD3A-EFD319EEB411}"/>
            </a:ext>
          </a:extLst>
        </xdr:cNvPr>
        <xdr:cNvSpPr txBox="1"/>
      </xdr:nvSpPr>
      <xdr:spPr>
        <a:xfrm>
          <a:off x="1447800" y="8450580"/>
          <a:ext cx="1043940" cy="259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Local chord</a:t>
          </a:r>
        </a:p>
      </xdr:txBody>
    </xdr:sp>
    <xdr:clientData/>
  </xdr:twoCellAnchor>
  <xdr:twoCellAnchor editAs="oneCell">
    <xdr:from>
      <xdr:col>2</xdr:col>
      <xdr:colOff>7620</xdr:colOff>
      <xdr:row>91</xdr:row>
      <xdr:rowOff>114300</xdr:rowOff>
    </xdr:from>
    <xdr:to>
      <xdr:col>5</xdr:col>
      <xdr:colOff>556466</xdr:colOff>
      <xdr:row>95</xdr:row>
      <xdr:rowOff>83881</xdr:rowOff>
    </xdr:to>
    <xdr:pic>
      <xdr:nvPicPr>
        <xdr:cNvPr id="50" name="Picture 49" descr="A close up of a logo&#10;&#10;Description automatically generated">
          <a:extLst>
            <a:ext uri="{FF2B5EF4-FFF2-40B4-BE49-F238E27FC236}">
              <a16:creationId xmlns:a16="http://schemas.microsoft.com/office/drawing/2014/main" id="{7841C31F-FC77-4B99-87F9-B6161548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0" y="16390620"/>
          <a:ext cx="2377646" cy="701101"/>
        </a:xfrm>
        <a:prstGeom prst="rect">
          <a:avLst/>
        </a:prstGeom>
      </xdr:spPr>
    </xdr:pic>
    <xdr:clientData/>
  </xdr:twoCellAnchor>
  <xdr:twoCellAnchor>
    <xdr:from>
      <xdr:col>4</xdr:col>
      <xdr:colOff>220980</xdr:colOff>
      <xdr:row>53</xdr:row>
      <xdr:rowOff>144780</xdr:rowOff>
    </xdr:from>
    <xdr:to>
      <xdr:col>7</xdr:col>
      <xdr:colOff>190500</xdr:colOff>
      <xdr:row>55</xdr:row>
      <xdr:rowOff>38100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89AFDF9-0C40-4BC9-96E1-7D5FC6D720C7}"/>
            </a:ext>
          </a:extLst>
        </xdr:cNvPr>
        <xdr:cNvSpPr txBox="1"/>
      </xdr:nvSpPr>
      <xdr:spPr>
        <a:xfrm>
          <a:off x="2659380" y="9837420"/>
          <a:ext cx="1798320" cy="259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Wing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semi-span or b/2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327660</xdr:colOff>
      <xdr:row>52</xdr:row>
      <xdr:rowOff>137160</xdr:rowOff>
    </xdr:from>
    <xdr:to>
      <xdr:col>4</xdr:col>
      <xdr:colOff>220980</xdr:colOff>
      <xdr:row>54</xdr:row>
      <xdr:rowOff>91440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D5FDCE2C-0D53-446C-8FB5-E0F19A11B8C9}"/>
            </a:ext>
          </a:extLst>
        </xdr:cNvPr>
        <xdr:cNvCxnSpPr>
          <a:stCxn id="51" idx="1"/>
        </xdr:cNvCxnSpPr>
      </xdr:nvCxnSpPr>
      <xdr:spPr>
        <a:xfrm flipH="1" flipV="1">
          <a:off x="2156460" y="9646920"/>
          <a:ext cx="502920" cy="320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48</xdr:row>
      <xdr:rowOff>7620</xdr:rowOff>
    </xdr:from>
    <xdr:to>
      <xdr:col>3</xdr:col>
      <xdr:colOff>114300</xdr:colOff>
      <xdr:row>49</xdr:row>
      <xdr:rowOff>165100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D59923B5-7739-4992-B5A8-C2EDDA5F9988}"/>
            </a:ext>
          </a:extLst>
        </xdr:cNvPr>
        <xdr:cNvCxnSpPr/>
      </xdr:nvCxnSpPr>
      <xdr:spPr>
        <a:xfrm>
          <a:off x="1943100" y="8785860"/>
          <a:ext cx="0" cy="34036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70483</xdr:colOff>
      <xdr:row>56</xdr:row>
      <xdr:rowOff>115612</xdr:rowOff>
    </xdr:from>
    <xdr:to>
      <xdr:col>20</xdr:col>
      <xdr:colOff>422908</xdr:colOff>
      <xdr:row>60</xdr:row>
      <xdr:rowOff>104182</xdr:rowOff>
    </xdr:to>
    <xdr:pic>
      <xdr:nvPicPr>
        <xdr:cNvPr id="2" name="Graphic 51">
          <a:extLst>
            <a:ext uri="{FF2B5EF4-FFF2-40B4-BE49-F238E27FC236}">
              <a16:creationId xmlns:a16="http://schemas.microsoft.com/office/drawing/2014/main" id="{DD078541-6F93-45C3-88B6-F22EF8AA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653133" y="10783612"/>
          <a:ext cx="3362325" cy="836295"/>
        </a:xfrm>
        <a:prstGeom prst="rect">
          <a:avLst/>
        </a:prstGeom>
      </xdr:spPr>
    </xdr:pic>
    <xdr:clientData/>
  </xdr:twoCellAnchor>
  <xdr:twoCellAnchor editAs="oneCell">
    <xdr:from>
      <xdr:col>4</xdr:col>
      <xdr:colOff>558800</xdr:colOff>
      <xdr:row>46</xdr:row>
      <xdr:rowOff>56116</xdr:rowOff>
    </xdr:from>
    <xdr:to>
      <xdr:col>8</xdr:col>
      <xdr:colOff>21590</xdr:colOff>
      <xdr:row>50</xdr:row>
      <xdr:rowOff>143746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C71A976F-5179-4BCE-AB13-19990799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140200" y="5359636"/>
          <a:ext cx="2686050" cy="819150"/>
        </a:xfrm>
        <a:prstGeom prst="rect">
          <a:avLst/>
        </a:prstGeom>
      </xdr:spPr>
    </xdr:pic>
    <xdr:clientData/>
  </xdr:twoCellAnchor>
  <xdr:twoCellAnchor editAs="oneCell">
    <xdr:from>
      <xdr:col>14</xdr:col>
      <xdr:colOff>636270</xdr:colOff>
      <xdr:row>49</xdr:row>
      <xdr:rowOff>118360</xdr:rowOff>
    </xdr:from>
    <xdr:to>
      <xdr:col>16</xdr:col>
      <xdr:colOff>388620</xdr:colOff>
      <xdr:row>52</xdr:row>
      <xdr:rowOff>19300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89C86C68-AE35-472D-964D-B4D7E63C9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3142595" y="9452860"/>
          <a:ext cx="1419225" cy="472440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243840</xdr:colOff>
      <xdr:row>74</xdr:row>
      <xdr:rowOff>169241</xdr:rowOff>
    </xdr:from>
    <xdr:to>
      <xdr:col>13</xdr:col>
      <xdr:colOff>453390</xdr:colOff>
      <xdr:row>80</xdr:row>
      <xdr:rowOff>13031</xdr:rowOff>
    </xdr:to>
    <xdr:pic>
      <xdr:nvPicPr>
        <xdr:cNvPr id="17" name="Graphic 51">
          <a:extLst>
            <a:ext uri="{FF2B5EF4-FFF2-40B4-BE49-F238E27FC236}">
              <a16:creationId xmlns:a16="http://schemas.microsoft.com/office/drawing/2014/main" id="{4B0CD9BE-5D49-4A15-8EEB-757BFBA3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048500" y="8863661"/>
          <a:ext cx="5162550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82</xdr:row>
      <xdr:rowOff>167640</xdr:rowOff>
    </xdr:from>
    <xdr:to>
      <xdr:col>12</xdr:col>
      <xdr:colOff>849630</xdr:colOff>
      <xdr:row>85</xdr:row>
      <xdr:rowOff>148936</xdr:rowOff>
    </xdr:to>
    <xdr:pic>
      <xdr:nvPicPr>
        <xdr:cNvPr id="28" name="Graphic 11">
          <a:extLst>
            <a:ext uri="{FF2B5EF4-FFF2-40B4-BE49-F238E27FC236}">
              <a16:creationId xmlns:a16="http://schemas.microsoft.com/office/drawing/2014/main" id="{88F64102-3323-44C3-92A3-0D8B093B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690860" y="10393680"/>
          <a:ext cx="971550" cy="529936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82</xdr:row>
      <xdr:rowOff>168079</xdr:rowOff>
    </xdr:from>
    <xdr:to>
      <xdr:col>10</xdr:col>
      <xdr:colOff>807720</xdr:colOff>
      <xdr:row>86</xdr:row>
      <xdr:rowOff>34288</xdr:rowOff>
    </xdr:to>
    <xdr:pic>
      <xdr:nvPicPr>
        <xdr:cNvPr id="29" name="Graphic 13">
          <a:extLst>
            <a:ext uri="{FF2B5EF4-FFF2-40B4-BE49-F238E27FC236}">
              <a16:creationId xmlns:a16="http://schemas.microsoft.com/office/drawing/2014/main" id="{39074979-D842-4D15-83C0-DC8313AE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528560" y="10394119"/>
          <a:ext cx="2103120" cy="597729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86</xdr:row>
      <xdr:rowOff>114445</xdr:rowOff>
    </xdr:from>
    <xdr:to>
      <xdr:col>4</xdr:col>
      <xdr:colOff>3810</xdr:colOff>
      <xdr:row>91</xdr:row>
      <xdr:rowOff>76345</xdr:rowOff>
    </xdr:to>
    <xdr:pic>
      <xdr:nvPicPr>
        <xdr:cNvPr id="30" name="Graphic 26">
          <a:extLst>
            <a:ext uri="{FF2B5EF4-FFF2-40B4-BE49-F238E27FC236}">
              <a16:creationId xmlns:a16="http://schemas.microsoft.com/office/drawing/2014/main" id="{FD34E41B-E28D-4D2D-A97B-023355CDD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600200" y="11620645"/>
          <a:ext cx="19812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175260</xdr:colOff>
      <xdr:row>103</xdr:row>
      <xdr:rowOff>68580</xdr:rowOff>
    </xdr:from>
    <xdr:to>
      <xdr:col>8</xdr:col>
      <xdr:colOff>228600</xdr:colOff>
      <xdr:row>108</xdr:row>
      <xdr:rowOff>106680</xdr:rowOff>
    </xdr:to>
    <xdr:pic>
      <xdr:nvPicPr>
        <xdr:cNvPr id="31" name="Graphic 40">
          <a:extLst>
            <a:ext uri="{FF2B5EF4-FFF2-40B4-BE49-F238E27FC236}">
              <a16:creationId xmlns:a16="http://schemas.microsoft.com/office/drawing/2014/main" id="{8EAEEA30-BFFE-4A74-BB30-603485C3A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556760" y="13716000"/>
          <a:ext cx="24765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693420</xdr:colOff>
      <xdr:row>113</xdr:row>
      <xdr:rowOff>30480</xdr:rowOff>
    </xdr:from>
    <xdr:to>
      <xdr:col>7</xdr:col>
      <xdr:colOff>102870</xdr:colOff>
      <xdr:row>115</xdr:row>
      <xdr:rowOff>179070</xdr:rowOff>
    </xdr:to>
    <xdr:pic>
      <xdr:nvPicPr>
        <xdr:cNvPr id="41" name="Graphic 2">
          <a:extLst>
            <a:ext uri="{FF2B5EF4-FFF2-40B4-BE49-F238E27FC236}">
              <a16:creationId xmlns:a16="http://schemas.microsoft.com/office/drawing/2014/main" id="{BA0A87CB-98FA-4B63-8B1B-AAA4863C6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274820" y="15506700"/>
          <a:ext cx="1771650" cy="514350"/>
        </a:xfrm>
        <a:prstGeom prst="rect">
          <a:avLst/>
        </a:prstGeom>
      </xdr:spPr>
    </xdr:pic>
    <xdr:clientData/>
  </xdr:twoCellAnchor>
  <xdr:twoCellAnchor editAs="oneCell">
    <xdr:from>
      <xdr:col>9</xdr:col>
      <xdr:colOff>160018</xdr:colOff>
      <xdr:row>116</xdr:row>
      <xdr:rowOff>22859</xdr:rowOff>
    </xdr:from>
    <xdr:to>
      <xdr:col>12</xdr:col>
      <xdr:colOff>567688</xdr:colOff>
      <xdr:row>121</xdr:row>
      <xdr:rowOff>22859</xdr:rowOff>
    </xdr:to>
    <xdr:pic>
      <xdr:nvPicPr>
        <xdr:cNvPr id="42" name="Graphic 11">
          <a:extLst>
            <a:ext uri="{FF2B5EF4-FFF2-40B4-BE49-F238E27FC236}">
              <a16:creationId xmlns:a16="http://schemas.microsoft.com/office/drawing/2014/main" id="{F0AA4132-0C51-4B4A-909A-1A59374C0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7970518" y="16047719"/>
          <a:ext cx="3409950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411479</xdr:colOff>
      <xdr:row>119</xdr:row>
      <xdr:rowOff>160020</xdr:rowOff>
    </xdr:from>
    <xdr:to>
      <xdr:col>8</xdr:col>
      <xdr:colOff>864869</xdr:colOff>
      <xdr:row>124</xdr:row>
      <xdr:rowOff>64770</xdr:rowOff>
    </xdr:to>
    <xdr:pic>
      <xdr:nvPicPr>
        <xdr:cNvPr id="43" name="Graphic 17">
          <a:extLst>
            <a:ext uri="{FF2B5EF4-FFF2-40B4-BE49-F238E27FC236}">
              <a16:creationId xmlns:a16="http://schemas.microsoft.com/office/drawing/2014/main" id="{C042C681-C654-45BC-9E35-70A42843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6355079" y="16733520"/>
          <a:ext cx="1314450" cy="819150"/>
        </a:xfrm>
        <a:prstGeom prst="rect">
          <a:avLst/>
        </a:prstGeom>
      </xdr:spPr>
    </xdr:pic>
    <xdr:clientData/>
  </xdr:twoCellAnchor>
  <xdr:twoCellAnchor editAs="oneCell">
    <xdr:from>
      <xdr:col>8</xdr:col>
      <xdr:colOff>388619</xdr:colOff>
      <xdr:row>124</xdr:row>
      <xdr:rowOff>175260</xdr:rowOff>
    </xdr:from>
    <xdr:to>
      <xdr:col>11</xdr:col>
      <xdr:colOff>102869</xdr:colOff>
      <xdr:row>129</xdr:row>
      <xdr:rowOff>99060</xdr:rowOff>
    </xdr:to>
    <xdr:pic>
      <xdr:nvPicPr>
        <xdr:cNvPr id="44" name="Graphic 3">
          <a:extLst>
            <a:ext uri="{FF2B5EF4-FFF2-40B4-BE49-F238E27FC236}">
              <a16:creationId xmlns:a16="http://schemas.microsoft.com/office/drawing/2014/main" id="{F74F7168-D5E6-4BBF-8128-D7E0E7B9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7193279" y="17663160"/>
          <a:ext cx="2762250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75565</xdr:colOff>
      <xdr:row>51</xdr:row>
      <xdr:rowOff>156571</xdr:rowOff>
    </xdr:from>
    <xdr:to>
      <xdr:col>7</xdr:col>
      <xdr:colOff>113665</xdr:colOff>
      <xdr:row>56</xdr:row>
      <xdr:rowOff>61321</xdr:rowOff>
    </xdr:to>
    <xdr:pic>
      <xdr:nvPicPr>
        <xdr:cNvPr id="51" name="Graphic 4">
          <a:extLst>
            <a:ext uri="{FF2B5EF4-FFF2-40B4-BE49-F238E27FC236}">
              <a16:creationId xmlns:a16="http://schemas.microsoft.com/office/drawing/2014/main" id="{31A9C7D2-05B0-453F-9CD5-5E9B1A20B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342765" y="9872071"/>
          <a:ext cx="156210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624839</xdr:colOff>
      <xdr:row>125</xdr:row>
      <xdr:rowOff>0</xdr:rowOff>
    </xdr:from>
    <xdr:to>
      <xdr:col>7</xdr:col>
      <xdr:colOff>834389</xdr:colOff>
      <xdr:row>129</xdr:row>
      <xdr:rowOff>106680</xdr:rowOff>
    </xdr:to>
    <xdr:pic>
      <xdr:nvPicPr>
        <xdr:cNvPr id="64" name="Graphic 6">
          <a:extLst>
            <a:ext uri="{FF2B5EF4-FFF2-40B4-BE49-F238E27FC236}">
              <a16:creationId xmlns:a16="http://schemas.microsoft.com/office/drawing/2014/main" id="{C0EE6106-117A-47D8-AF9A-DAC74C938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206239" y="17670780"/>
          <a:ext cx="257175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157</xdr:row>
      <xdr:rowOff>91440</xdr:rowOff>
    </xdr:from>
    <xdr:to>
      <xdr:col>4</xdr:col>
      <xdr:colOff>16415</xdr:colOff>
      <xdr:row>162</xdr:row>
      <xdr:rowOff>135255</xdr:rowOff>
    </xdr:to>
    <xdr:pic>
      <xdr:nvPicPr>
        <xdr:cNvPr id="36" name="Graphic 4">
          <a:extLst>
            <a:ext uri="{FF2B5EF4-FFF2-40B4-BE49-F238E27FC236}">
              <a16:creationId xmlns:a16="http://schemas.microsoft.com/office/drawing/2014/main" id="{3E01B3A5-143A-4C92-A19F-6BBDE763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556260" y="22334220"/>
          <a:ext cx="3037745" cy="958215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165</xdr:row>
      <xdr:rowOff>137160</xdr:rowOff>
    </xdr:from>
    <xdr:to>
      <xdr:col>2</xdr:col>
      <xdr:colOff>393807</xdr:colOff>
      <xdr:row>169</xdr:row>
      <xdr:rowOff>66721</xdr:rowOff>
    </xdr:to>
    <xdr:pic>
      <xdr:nvPicPr>
        <xdr:cNvPr id="39" name="Graphic 6">
          <a:extLst>
            <a:ext uri="{FF2B5EF4-FFF2-40B4-BE49-F238E27FC236}">
              <a16:creationId xmlns:a16="http://schemas.microsoft.com/office/drawing/2014/main" id="{79B8213B-DD50-4C53-B699-F21DB51C7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556260" y="23842980"/>
          <a:ext cx="1542522" cy="661081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</xdr:colOff>
      <xdr:row>131</xdr:row>
      <xdr:rowOff>160020</xdr:rowOff>
    </xdr:from>
    <xdr:to>
      <xdr:col>8</xdr:col>
      <xdr:colOff>132734</xdr:colOff>
      <xdr:row>135</xdr:row>
      <xdr:rowOff>77780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7F13A2-5B09-4E83-B25B-553982C4D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180" y="18928080"/>
          <a:ext cx="1687214" cy="64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600075</xdr:colOff>
      <xdr:row>14</xdr:row>
      <xdr:rowOff>179070</xdr:rowOff>
    </xdr:from>
    <xdr:to>
      <xdr:col>35</xdr:col>
      <xdr:colOff>569595</xdr:colOff>
      <xdr:row>51</xdr:row>
      <xdr:rowOff>180386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55979C5-9B29-4E3A-B91A-8B9A07737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192625" y="2846070"/>
          <a:ext cx="9113520" cy="7049816"/>
        </a:xfrm>
        <a:prstGeom prst="rect">
          <a:avLst/>
        </a:prstGeom>
      </xdr:spPr>
    </xdr:pic>
    <xdr:clientData/>
  </xdr:twoCellAnchor>
  <xdr:twoCellAnchor>
    <xdr:from>
      <xdr:col>3</xdr:col>
      <xdr:colOff>111760</xdr:colOff>
      <xdr:row>48</xdr:row>
      <xdr:rowOff>96520</xdr:rowOff>
    </xdr:from>
    <xdr:to>
      <xdr:col>4</xdr:col>
      <xdr:colOff>543560</xdr:colOff>
      <xdr:row>48</xdr:row>
      <xdr:rowOff>96520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B3091088-00F6-4477-9584-7B2C9AF76914}"/>
            </a:ext>
          </a:extLst>
        </xdr:cNvPr>
        <xdr:cNvCxnSpPr/>
      </xdr:nvCxnSpPr>
      <xdr:spPr>
        <a:xfrm flipH="1">
          <a:off x="2814320" y="6131560"/>
          <a:ext cx="13157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508635</xdr:colOff>
      <xdr:row>54</xdr:row>
      <xdr:rowOff>57171</xdr:rowOff>
    </xdr:from>
    <xdr:to>
      <xdr:col>8</xdr:col>
      <xdr:colOff>771524</xdr:colOff>
      <xdr:row>57</xdr:row>
      <xdr:rowOff>83820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2929B1E0-6976-403C-842D-65E4A08EEED0}"/>
            </a:ext>
          </a:extLst>
        </xdr:cNvPr>
        <xdr:cNvCxnSpPr/>
      </xdr:nvCxnSpPr>
      <xdr:spPr>
        <a:xfrm flipH="1">
          <a:off x="6299835" y="10344171"/>
          <a:ext cx="1101089" cy="59814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729614</xdr:colOff>
      <xdr:row>52</xdr:row>
      <xdr:rowOff>59076</xdr:rowOff>
    </xdr:from>
    <xdr:to>
      <xdr:col>11</xdr:col>
      <xdr:colOff>786764</xdr:colOff>
      <xdr:row>55</xdr:row>
      <xdr:rowOff>36216</xdr:rowOff>
    </xdr:to>
    <xdr:pic>
      <xdr:nvPicPr>
        <xdr:cNvPr id="60" name="Graphic 13">
          <a:extLst>
            <a:ext uri="{FF2B5EF4-FFF2-40B4-BE49-F238E27FC236}">
              <a16:creationId xmlns:a16="http://schemas.microsoft.com/office/drawing/2014/main" id="{18B87848-FBA5-4B94-B2B8-B20F4CB1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7359014" y="9965076"/>
          <a:ext cx="3019425" cy="54864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</xdr:row>
      <xdr:rowOff>142240</xdr:rowOff>
    </xdr:from>
    <xdr:to>
      <xdr:col>14</xdr:col>
      <xdr:colOff>1036320</xdr:colOff>
      <xdr:row>58</xdr:row>
      <xdr:rowOff>142240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FD8071E3-975B-4E76-AFF7-A43D4B12238B}"/>
            </a:ext>
          </a:extLst>
        </xdr:cNvPr>
        <xdr:cNvCxnSpPr/>
      </xdr:nvCxnSpPr>
      <xdr:spPr>
        <a:xfrm flipH="1">
          <a:off x="12567920" y="8554720"/>
          <a:ext cx="9728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231140</xdr:colOff>
      <xdr:row>52</xdr:row>
      <xdr:rowOff>121920</xdr:rowOff>
    </xdr:from>
    <xdr:to>
      <xdr:col>15</xdr:col>
      <xdr:colOff>231140</xdr:colOff>
      <xdr:row>57</xdr:row>
      <xdr:rowOff>111760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48995D66-0354-4EFF-B5A6-E20841ED1590}"/>
            </a:ext>
          </a:extLst>
        </xdr:cNvPr>
        <xdr:cNvCxnSpPr/>
      </xdr:nvCxnSpPr>
      <xdr:spPr>
        <a:xfrm>
          <a:off x="13813790" y="10027920"/>
          <a:ext cx="0" cy="9423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74</xdr:row>
      <xdr:rowOff>152400</xdr:rowOff>
    </xdr:from>
    <xdr:to>
      <xdr:col>6</xdr:col>
      <xdr:colOff>365760</xdr:colOff>
      <xdr:row>80</xdr:row>
      <xdr:rowOff>38100</xdr:rowOff>
    </xdr:to>
    <xdr:sp macro="" textlink="">
      <xdr:nvSpPr>
        <xdr:cNvPr id="65" name="Right Brace 64">
          <a:extLst>
            <a:ext uri="{FF2B5EF4-FFF2-40B4-BE49-F238E27FC236}">
              <a16:creationId xmlns:a16="http://schemas.microsoft.com/office/drawing/2014/main" id="{51EC1740-7F1D-456F-BE26-8006D85A549C}"/>
            </a:ext>
          </a:extLst>
        </xdr:cNvPr>
        <xdr:cNvSpPr/>
      </xdr:nvSpPr>
      <xdr:spPr>
        <a:xfrm>
          <a:off x="5318760" y="8846820"/>
          <a:ext cx="190500" cy="105156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528320</xdr:colOff>
      <xdr:row>77</xdr:row>
      <xdr:rowOff>58420</xdr:rowOff>
    </xdr:from>
    <xdr:to>
      <xdr:col>8</xdr:col>
      <xdr:colOff>182880</xdr:colOff>
      <xdr:row>77</xdr:row>
      <xdr:rowOff>58420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ED271E91-560E-412A-80B6-5C6B4D7702CA}"/>
            </a:ext>
          </a:extLst>
        </xdr:cNvPr>
        <xdr:cNvCxnSpPr/>
      </xdr:nvCxnSpPr>
      <xdr:spPr>
        <a:xfrm flipH="1">
          <a:off x="5671820" y="9370060"/>
          <a:ext cx="13157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360680</xdr:colOff>
      <xdr:row>79</xdr:row>
      <xdr:rowOff>5080</xdr:rowOff>
    </xdr:from>
    <xdr:to>
      <xdr:col>12</xdr:col>
      <xdr:colOff>360680</xdr:colOff>
      <xdr:row>83</xdr:row>
      <xdr:rowOff>7620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DC8A7D4C-1EE4-4C27-BF18-18ADF8CAA80F}"/>
            </a:ext>
          </a:extLst>
        </xdr:cNvPr>
        <xdr:cNvCxnSpPr/>
      </xdr:nvCxnSpPr>
      <xdr:spPr>
        <a:xfrm flipV="1">
          <a:off x="11173460" y="9682480"/>
          <a:ext cx="0" cy="73406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1000760</xdr:colOff>
      <xdr:row>79</xdr:row>
      <xdr:rowOff>12700</xdr:rowOff>
    </xdr:from>
    <xdr:to>
      <xdr:col>8</xdr:col>
      <xdr:colOff>1000760</xdr:colOff>
      <xdr:row>83</xdr:row>
      <xdr:rowOff>0</xdr:rowOff>
    </xdr:to>
    <xdr:cxnSp macro="">
      <xdr:nvCxnSpPr>
        <xdr:cNvPr id="70" name="Straight Arrow Connector 69">
          <a:extLst>
            <a:ext uri="{FF2B5EF4-FFF2-40B4-BE49-F238E27FC236}">
              <a16:creationId xmlns:a16="http://schemas.microsoft.com/office/drawing/2014/main" id="{7A370817-F818-477B-8E49-2B729635A286}"/>
            </a:ext>
          </a:extLst>
        </xdr:cNvPr>
        <xdr:cNvCxnSpPr/>
      </xdr:nvCxnSpPr>
      <xdr:spPr>
        <a:xfrm flipV="1">
          <a:off x="7805420" y="9690100"/>
          <a:ext cx="0" cy="71882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574040</xdr:colOff>
      <xdr:row>106</xdr:row>
      <xdr:rowOff>111760</xdr:rowOff>
    </xdr:from>
    <xdr:to>
      <xdr:col>5</xdr:col>
      <xdr:colOff>205740</xdr:colOff>
      <xdr:row>106</xdr:row>
      <xdr:rowOff>111760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1662A864-7148-4432-BA0A-3B0873B8D872}"/>
            </a:ext>
          </a:extLst>
        </xdr:cNvPr>
        <xdr:cNvCxnSpPr/>
      </xdr:nvCxnSpPr>
      <xdr:spPr>
        <a:xfrm flipH="1">
          <a:off x="3271520" y="14307820"/>
          <a:ext cx="13157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220980</xdr:colOff>
      <xdr:row>103</xdr:row>
      <xdr:rowOff>129540</xdr:rowOff>
    </xdr:from>
    <xdr:to>
      <xdr:col>3</xdr:col>
      <xdr:colOff>411480</xdr:colOff>
      <xdr:row>109</xdr:row>
      <xdr:rowOff>83820</xdr:rowOff>
    </xdr:to>
    <xdr:sp macro="" textlink="">
      <xdr:nvSpPr>
        <xdr:cNvPr id="72" name="Right Brace 71">
          <a:extLst>
            <a:ext uri="{FF2B5EF4-FFF2-40B4-BE49-F238E27FC236}">
              <a16:creationId xmlns:a16="http://schemas.microsoft.com/office/drawing/2014/main" id="{F3B26197-A10C-4449-B48E-EE73F66D663C}"/>
            </a:ext>
          </a:extLst>
        </xdr:cNvPr>
        <xdr:cNvSpPr/>
      </xdr:nvSpPr>
      <xdr:spPr>
        <a:xfrm>
          <a:off x="2918460" y="13776960"/>
          <a:ext cx="190500" cy="105156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563880</xdr:colOff>
      <xdr:row>99</xdr:row>
      <xdr:rowOff>76200</xdr:rowOff>
    </xdr:from>
    <xdr:to>
      <xdr:col>7</xdr:col>
      <xdr:colOff>15240</xdr:colOff>
      <xdr:row>105</xdr:row>
      <xdr:rowOff>5080</xdr:rowOff>
    </xdr:to>
    <xdr:cxnSp macro="">
      <xdr:nvCxnSpPr>
        <xdr:cNvPr id="76" name="Straight Arrow Connector 75">
          <a:extLst>
            <a:ext uri="{FF2B5EF4-FFF2-40B4-BE49-F238E27FC236}">
              <a16:creationId xmlns:a16="http://schemas.microsoft.com/office/drawing/2014/main" id="{C81DE9EC-3CE6-444B-8A10-8585678961A2}"/>
            </a:ext>
          </a:extLst>
        </xdr:cNvPr>
        <xdr:cNvCxnSpPr/>
      </xdr:nvCxnSpPr>
      <xdr:spPr>
        <a:xfrm flipH="1" flipV="1">
          <a:off x="4945380" y="12992100"/>
          <a:ext cx="1013460" cy="102616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96</xdr:row>
      <xdr:rowOff>152400</xdr:rowOff>
    </xdr:from>
    <xdr:to>
      <xdr:col>5</xdr:col>
      <xdr:colOff>342900</xdr:colOff>
      <xdr:row>102</xdr:row>
      <xdr:rowOff>45720</xdr:rowOff>
    </xdr:to>
    <xdr:sp macro="" textlink="">
      <xdr:nvSpPr>
        <xdr:cNvPr id="78" name="Right Brace 77">
          <a:extLst>
            <a:ext uri="{FF2B5EF4-FFF2-40B4-BE49-F238E27FC236}">
              <a16:creationId xmlns:a16="http://schemas.microsoft.com/office/drawing/2014/main" id="{B03A60E6-7463-4FAE-A2EC-4C1D70AF8C70}"/>
            </a:ext>
          </a:extLst>
        </xdr:cNvPr>
        <xdr:cNvSpPr/>
      </xdr:nvSpPr>
      <xdr:spPr>
        <a:xfrm>
          <a:off x="4533900" y="12458700"/>
          <a:ext cx="190500" cy="105156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674370</xdr:colOff>
      <xdr:row>96</xdr:row>
      <xdr:rowOff>57150</xdr:rowOff>
    </xdr:from>
    <xdr:to>
      <xdr:col>8</xdr:col>
      <xdr:colOff>64770</xdr:colOff>
      <xdr:row>97</xdr:row>
      <xdr:rowOff>64770</xdr:rowOff>
    </xdr:to>
    <xdr:sp macro="" textlink="">
      <xdr:nvSpPr>
        <xdr:cNvPr id="80" name="Right Brace 79">
          <a:extLst>
            <a:ext uri="{FF2B5EF4-FFF2-40B4-BE49-F238E27FC236}">
              <a16:creationId xmlns:a16="http://schemas.microsoft.com/office/drawing/2014/main" id="{6FA46B42-EE6F-432C-B00B-C065091E6503}"/>
            </a:ext>
          </a:extLst>
        </xdr:cNvPr>
        <xdr:cNvSpPr/>
      </xdr:nvSpPr>
      <xdr:spPr>
        <a:xfrm rot="5400000">
          <a:off x="6370320" y="12481560"/>
          <a:ext cx="190500" cy="105156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132080</xdr:colOff>
      <xdr:row>114</xdr:row>
      <xdr:rowOff>104140</xdr:rowOff>
    </xdr:from>
    <xdr:to>
      <xdr:col>4</xdr:col>
      <xdr:colOff>563880</xdr:colOff>
      <xdr:row>114</xdr:row>
      <xdr:rowOff>104140</xdr:rowOff>
    </xdr:to>
    <xdr:cxnSp macro="">
      <xdr:nvCxnSpPr>
        <xdr:cNvPr id="82" name="Straight Arrow Connector 81">
          <a:extLst>
            <a:ext uri="{FF2B5EF4-FFF2-40B4-BE49-F238E27FC236}">
              <a16:creationId xmlns:a16="http://schemas.microsoft.com/office/drawing/2014/main" id="{EF7ABDCB-803E-442A-8081-BE885E0DB1C5}"/>
            </a:ext>
          </a:extLst>
        </xdr:cNvPr>
        <xdr:cNvCxnSpPr/>
      </xdr:nvCxnSpPr>
      <xdr:spPr>
        <a:xfrm flipH="1">
          <a:off x="2829560" y="15763240"/>
          <a:ext cx="13157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665480</xdr:colOff>
      <xdr:row>118</xdr:row>
      <xdr:rowOff>96520</xdr:rowOff>
    </xdr:from>
    <xdr:to>
      <xdr:col>9</xdr:col>
      <xdr:colOff>114300</xdr:colOff>
      <xdr:row>118</xdr:row>
      <xdr:rowOff>96520</xdr:rowOff>
    </xdr:to>
    <xdr:cxnSp macro="">
      <xdr:nvCxnSpPr>
        <xdr:cNvPr id="83" name="Straight Arrow Connector 82">
          <a:extLst>
            <a:ext uri="{FF2B5EF4-FFF2-40B4-BE49-F238E27FC236}">
              <a16:creationId xmlns:a16="http://schemas.microsoft.com/office/drawing/2014/main" id="{984FF32F-9B15-4FCB-9B61-5663883B43D0}"/>
            </a:ext>
          </a:extLst>
        </xdr:cNvPr>
        <xdr:cNvCxnSpPr/>
      </xdr:nvCxnSpPr>
      <xdr:spPr>
        <a:xfrm flipH="1">
          <a:off x="5046980" y="16487140"/>
          <a:ext cx="28778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726440</xdr:colOff>
      <xdr:row>119</xdr:row>
      <xdr:rowOff>119380</xdr:rowOff>
    </xdr:from>
    <xdr:to>
      <xdr:col>7</xdr:col>
      <xdr:colOff>411479</xdr:colOff>
      <xdr:row>122</xdr:row>
      <xdr:rowOff>20955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DF59D594-5394-4AC3-8CF8-6B9E6F82ADF2}"/>
            </a:ext>
          </a:extLst>
        </xdr:cNvPr>
        <xdr:cNvCxnSpPr>
          <a:stCxn id="43" idx="1"/>
        </xdr:cNvCxnSpPr>
      </xdr:nvCxnSpPr>
      <xdr:spPr>
        <a:xfrm flipH="1" flipV="1">
          <a:off x="5107940" y="16692880"/>
          <a:ext cx="1247139" cy="450215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154940</xdr:colOff>
      <xdr:row>127</xdr:row>
      <xdr:rowOff>104140</xdr:rowOff>
    </xdr:from>
    <xdr:to>
      <xdr:col>4</xdr:col>
      <xdr:colOff>586740</xdr:colOff>
      <xdr:row>127</xdr:row>
      <xdr:rowOff>104140</xdr:rowOff>
    </xdr:to>
    <xdr:cxnSp macro="">
      <xdr:nvCxnSpPr>
        <xdr:cNvPr id="87" name="Straight Arrow Connector 86">
          <a:extLst>
            <a:ext uri="{FF2B5EF4-FFF2-40B4-BE49-F238E27FC236}">
              <a16:creationId xmlns:a16="http://schemas.microsoft.com/office/drawing/2014/main" id="{7CA4A8AF-AAE7-4B80-B55E-ED2F46121296}"/>
            </a:ext>
          </a:extLst>
        </xdr:cNvPr>
        <xdr:cNvCxnSpPr/>
      </xdr:nvCxnSpPr>
      <xdr:spPr>
        <a:xfrm flipH="1">
          <a:off x="2852420" y="18140680"/>
          <a:ext cx="13157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861060</xdr:colOff>
      <xdr:row>125</xdr:row>
      <xdr:rowOff>60960</xdr:rowOff>
    </xdr:from>
    <xdr:to>
      <xdr:col>14</xdr:col>
      <xdr:colOff>236426</xdr:colOff>
      <xdr:row>129</xdr:row>
      <xdr:rowOff>30541</xdr:rowOff>
    </xdr:to>
    <xdr:pic>
      <xdr:nvPicPr>
        <xdr:cNvPr id="88" name="Picture 87" descr="A close up of a logo&#10;&#10;Description automatically generated">
          <a:extLst>
            <a:ext uri="{FF2B5EF4-FFF2-40B4-BE49-F238E27FC236}">
              <a16:creationId xmlns:a16="http://schemas.microsoft.com/office/drawing/2014/main" id="{79905E7C-406A-4EE5-B24C-F7B18A9BC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3720" y="17731740"/>
          <a:ext cx="2377646" cy="701101"/>
        </a:xfrm>
        <a:prstGeom prst="rect">
          <a:avLst/>
        </a:prstGeom>
      </xdr:spPr>
    </xdr:pic>
    <xdr:clientData/>
  </xdr:twoCellAnchor>
  <xdr:twoCellAnchor>
    <xdr:from>
      <xdr:col>3</xdr:col>
      <xdr:colOff>711200</xdr:colOff>
      <xdr:row>133</xdr:row>
      <xdr:rowOff>96520</xdr:rowOff>
    </xdr:from>
    <xdr:to>
      <xdr:col>5</xdr:col>
      <xdr:colOff>655320</xdr:colOff>
      <xdr:row>133</xdr:row>
      <xdr:rowOff>96520</xdr:rowOff>
    </xdr:to>
    <xdr:cxnSp macro="">
      <xdr:nvCxnSpPr>
        <xdr:cNvPr id="89" name="Straight Arrow Connector 88">
          <a:extLst>
            <a:ext uri="{FF2B5EF4-FFF2-40B4-BE49-F238E27FC236}">
              <a16:creationId xmlns:a16="http://schemas.microsoft.com/office/drawing/2014/main" id="{E20A1653-4572-4CB6-BE36-CA63B7DDC391}"/>
            </a:ext>
          </a:extLst>
        </xdr:cNvPr>
        <xdr:cNvCxnSpPr/>
      </xdr:nvCxnSpPr>
      <xdr:spPr>
        <a:xfrm flipH="1">
          <a:off x="3408680" y="19230340"/>
          <a:ext cx="162814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159</xdr:row>
      <xdr:rowOff>60960</xdr:rowOff>
    </xdr:from>
    <xdr:to>
      <xdr:col>8</xdr:col>
      <xdr:colOff>518160</xdr:colOff>
      <xdr:row>161</xdr:row>
      <xdr:rowOff>114300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7113853-BEDA-44BC-BEB3-2918E6675CC2}"/>
            </a:ext>
          </a:extLst>
        </xdr:cNvPr>
        <xdr:cNvSpPr txBox="1"/>
      </xdr:nvSpPr>
      <xdr:spPr>
        <a:xfrm>
          <a:off x="5318760" y="22669500"/>
          <a:ext cx="200406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Downwash</a:t>
          </a:r>
        </a:p>
      </xdr:txBody>
    </xdr:sp>
    <xdr:clientData/>
  </xdr:twoCellAnchor>
  <xdr:twoCellAnchor>
    <xdr:from>
      <xdr:col>6</xdr:col>
      <xdr:colOff>160020</xdr:colOff>
      <xdr:row>166</xdr:row>
      <xdr:rowOff>76200</xdr:rowOff>
    </xdr:from>
    <xdr:to>
      <xdr:col>8</xdr:col>
      <xdr:colOff>502920</xdr:colOff>
      <xdr:row>168</xdr:row>
      <xdr:rowOff>129540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B6945C4-C761-4DF0-B514-9749D96285E7}"/>
            </a:ext>
          </a:extLst>
        </xdr:cNvPr>
        <xdr:cNvSpPr txBox="1"/>
      </xdr:nvSpPr>
      <xdr:spPr>
        <a:xfrm>
          <a:off x="5303520" y="23964900"/>
          <a:ext cx="2004060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Induced angle</a:t>
          </a:r>
        </a:p>
      </xdr:txBody>
    </xdr:sp>
    <xdr:clientData/>
  </xdr:twoCellAnchor>
  <xdr:twoCellAnchor>
    <xdr:from>
      <xdr:col>4</xdr:col>
      <xdr:colOff>33020</xdr:colOff>
      <xdr:row>160</xdr:row>
      <xdr:rowOff>81280</xdr:rowOff>
    </xdr:from>
    <xdr:to>
      <xdr:col>6</xdr:col>
      <xdr:colOff>99060</xdr:colOff>
      <xdr:row>160</xdr:row>
      <xdr:rowOff>81280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392F5FAD-16E8-44E6-BEDC-712FCEBAD69C}"/>
            </a:ext>
          </a:extLst>
        </xdr:cNvPr>
        <xdr:cNvCxnSpPr/>
      </xdr:nvCxnSpPr>
      <xdr:spPr>
        <a:xfrm flipH="1">
          <a:off x="3614420" y="22872700"/>
          <a:ext cx="162814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368300</xdr:colOff>
      <xdr:row>167</xdr:row>
      <xdr:rowOff>104140</xdr:rowOff>
    </xdr:from>
    <xdr:to>
      <xdr:col>6</xdr:col>
      <xdr:colOff>83820</xdr:colOff>
      <xdr:row>167</xdr:row>
      <xdr:rowOff>104140</xdr:rowOff>
    </xdr:to>
    <xdr:cxnSp macro="">
      <xdr:nvCxnSpPr>
        <xdr:cNvPr id="94" name="Straight Arrow Connector 93">
          <a:extLst>
            <a:ext uri="{FF2B5EF4-FFF2-40B4-BE49-F238E27FC236}">
              <a16:creationId xmlns:a16="http://schemas.microsoft.com/office/drawing/2014/main" id="{0794BBF1-2491-4483-92B8-AD2059755DD5}"/>
            </a:ext>
          </a:extLst>
        </xdr:cNvPr>
        <xdr:cNvCxnSpPr/>
      </xdr:nvCxnSpPr>
      <xdr:spPr>
        <a:xfrm flipH="1">
          <a:off x="2098040" y="24175720"/>
          <a:ext cx="312928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30480</xdr:colOff>
      <xdr:row>143</xdr:row>
      <xdr:rowOff>0</xdr:rowOff>
    </xdr:from>
    <xdr:to>
      <xdr:col>10</xdr:col>
      <xdr:colOff>579120</xdr:colOff>
      <xdr:row>147</xdr:row>
      <xdr:rowOff>49530</xdr:rowOff>
    </xdr:to>
    <xdr:pic>
      <xdr:nvPicPr>
        <xdr:cNvPr id="96" name="Graphic 2">
          <a:extLst>
            <a:ext uri="{FF2B5EF4-FFF2-40B4-BE49-F238E27FC236}">
              <a16:creationId xmlns:a16="http://schemas.microsoft.com/office/drawing/2014/main" id="{BA0DAB51-FCA7-4421-BA57-B2ED2B40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9"/>
            </a:ext>
          </a:extLst>
        </a:blip>
        <a:stretch>
          <a:fillRect/>
        </a:stretch>
      </xdr:blipFill>
      <xdr:spPr>
        <a:xfrm>
          <a:off x="5974080" y="20665440"/>
          <a:ext cx="3429000" cy="781050"/>
        </a:xfrm>
        <a:prstGeom prst="rect">
          <a:avLst/>
        </a:prstGeom>
      </xdr:spPr>
    </xdr:pic>
    <xdr:clientData/>
  </xdr:twoCellAnchor>
  <xdr:twoCellAnchor>
    <xdr:from>
      <xdr:col>3</xdr:col>
      <xdr:colOff>414020</xdr:colOff>
      <xdr:row>144</xdr:row>
      <xdr:rowOff>96520</xdr:rowOff>
    </xdr:from>
    <xdr:to>
      <xdr:col>6</xdr:col>
      <xdr:colOff>784860</xdr:colOff>
      <xdr:row>144</xdr:row>
      <xdr:rowOff>96520</xdr:rowOff>
    </xdr:to>
    <xdr:cxnSp macro="">
      <xdr:nvCxnSpPr>
        <xdr:cNvPr id="98" name="Straight Arrow Connector 97">
          <a:extLst>
            <a:ext uri="{FF2B5EF4-FFF2-40B4-BE49-F238E27FC236}">
              <a16:creationId xmlns:a16="http://schemas.microsoft.com/office/drawing/2014/main" id="{84307453-DE3A-4960-9B0D-51712A4CFF0D}"/>
            </a:ext>
          </a:extLst>
        </xdr:cNvPr>
        <xdr:cNvCxnSpPr/>
      </xdr:nvCxnSpPr>
      <xdr:spPr>
        <a:xfrm flipH="1">
          <a:off x="3111500" y="21059140"/>
          <a:ext cx="281686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114301</xdr:colOff>
      <xdr:row>148</xdr:row>
      <xdr:rowOff>76201</xdr:rowOff>
    </xdr:from>
    <xdr:to>
      <xdr:col>10</xdr:col>
      <xdr:colOff>82544</xdr:colOff>
      <xdr:row>152</xdr:row>
      <xdr:rowOff>158568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A5E6A95-464A-4F51-9DEE-D95552FA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21404581"/>
          <a:ext cx="2848603" cy="81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398780</xdr:colOff>
      <xdr:row>150</xdr:row>
      <xdr:rowOff>111760</xdr:rowOff>
    </xdr:from>
    <xdr:to>
      <xdr:col>6</xdr:col>
      <xdr:colOff>769620</xdr:colOff>
      <xdr:row>150</xdr:row>
      <xdr:rowOff>111760</xdr:rowOff>
    </xdr:to>
    <xdr:cxnSp macro="">
      <xdr:nvCxnSpPr>
        <xdr:cNvPr id="102" name="Straight Arrow Connector 101">
          <a:extLst>
            <a:ext uri="{FF2B5EF4-FFF2-40B4-BE49-F238E27FC236}">
              <a16:creationId xmlns:a16="http://schemas.microsoft.com/office/drawing/2014/main" id="{A9CB85B0-8B14-488A-878E-9F49DFA1B438}"/>
            </a:ext>
          </a:extLst>
        </xdr:cNvPr>
        <xdr:cNvCxnSpPr/>
      </xdr:nvCxnSpPr>
      <xdr:spPr>
        <a:xfrm flipH="1">
          <a:off x="3096260" y="22171660"/>
          <a:ext cx="281686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457201</xdr:colOff>
      <xdr:row>147</xdr:row>
      <xdr:rowOff>160020</xdr:rowOff>
    </xdr:from>
    <xdr:to>
      <xdr:col>5</xdr:col>
      <xdr:colOff>71742</xdr:colOff>
      <xdr:row>149</xdr:row>
      <xdr:rowOff>46656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E77EBB8B-8B40-4F1A-B1CF-737AFE7E9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881" y="22037040"/>
          <a:ext cx="1298561" cy="252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411480</xdr:colOff>
      <xdr:row>98</xdr:row>
      <xdr:rowOff>38100</xdr:rowOff>
    </xdr:from>
    <xdr:to>
      <xdr:col>7</xdr:col>
      <xdr:colOff>718820</xdr:colOff>
      <xdr:row>104</xdr:row>
      <xdr:rowOff>144780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47D1A3A7-C881-47F3-AE9C-839B8E3EB223}"/>
            </a:ext>
          </a:extLst>
        </xdr:cNvPr>
        <xdr:cNvCxnSpPr/>
      </xdr:nvCxnSpPr>
      <xdr:spPr>
        <a:xfrm flipH="1" flipV="1">
          <a:off x="6477000" y="13319760"/>
          <a:ext cx="307340" cy="120396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739775</xdr:colOff>
      <xdr:row>65</xdr:row>
      <xdr:rowOff>35560</xdr:rowOff>
    </xdr:from>
    <xdr:to>
      <xdr:col>5</xdr:col>
      <xdr:colOff>739775</xdr:colOff>
      <xdr:row>66</xdr:row>
      <xdr:rowOff>129540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D9BA822E-24A1-4A0B-9A8C-34AA83E62CDC}"/>
            </a:ext>
          </a:extLst>
        </xdr:cNvPr>
        <xdr:cNvCxnSpPr/>
      </xdr:nvCxnSpPr>
      <xdr:spPr>
        <a:xfrm flipV="1">
          <a:off x="5006975" y="12503785"/>
          <a:ext cx="0" cy="2844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737235</xdr:colOff>
      <xdr:row>66</xdr:row>
      <xdr:rowOff>184785</xdr:rowOff>
    </xdr:from>
    <xdr:to>
      <xdr:col>8</xdr:col>
      <xdr:colOff>962025</xdr:colOff>
      <xdr:row>70</xdr:row>
      <xdr:rowOff>108585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B7BDAA5-5F18-4704-8817-E5F95F30A7E2}"/>
            </a:ext>
          </a:extLst>
        </xdr:cNvPr>
        <xdr:cNvSpPr txBox="1"/>
      </xdr:nvSpPr>
      <xdr:spPr>
        <a:xfrm>
          <a:off x="2423160" y="12843510"/>
          <a:ext cx="5168265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careful to check if you are using wing-span b or wing semi-span b/2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These values are not used in the actual computation. 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They represent the domain transformation.</a:t>
          </a:r>
        </a:p>
      </xdr:txBody>
    </xdr:sp>
    <xdr:clientData/>
  </xdr:twoCellAnchor>
  <xdr:twoCellAnchor>
    <xdr:from>
      <xdr:col>5</xdr:col>
      <xdr:colOff>5715</xdr:colOff>
      <xdr:row>56</xdr:row>
      <xdr:rowOff>129540</xdr:rowOff>
    </xdr:from>
    <xdr:to>
      <xdr:col>6</xdr:col>
      <xdr:colOff>775335</xdr:colOff>
      <xdr:row>57</xdr:row>
      <xdr:rowOff>160020</xdr:rowOff>
    </xdr:to>
    <xdr:sp macro="" textlink="">
      <xdr:nvSpPr>
        <xdr:cNvPr id="59" name="Right Brace 58">
          <a:extLst>
            <a:ext uri="{FF2B5EF4-FFF2-40B4-BE49-F238E27FC236}">
              <a16:creationId xmlns:a16="http://schemas.microsoft.com/office/drawing/2014/main" id="{D02C3031-032D-4BF0-95A6-A29014C05570}"/>
            </a:ext>
          </a:extLst>
        </xdr:cNvPr>
        <xdr:cNvSpPr/>
      </xdr:nvSpPr>
      <xdr:spPr>
        <a:xfrm rot="16200000">
          <a:off x="4918710" y="10151745"/>
          <a:ext cx="220980" cy="151257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3810</xdr:colOff>
      <xdr:row>63</xdr:row>
      <xdr:rowOff>45720</xdr:rowOff>
    </xdr:from>
    <xdr:to>
      <xdr:col>6</xdr:col>
      <xdr:colOff>763905</xdr:colOff>
      <xdr:row>64</xdr:row>
      <xdr:rowOff>76200</xdr:rowOff>
    </xdr:to>
    <xdr:sp macro="" textlink="">
      <xdr:nvSpPr>
        <xdr:cNvPr id="62" name="Right Brace 61">
          <a:extLst>
            <a:ext uri="{FF2B5EF4-FFF2-40B4-BE49-F238E27FC236}">
              <a16:creationId xmlns:a16="http://schemas.microsoft.com/office/drawing/2014/main" id="{B056CDF1-6063-48AE-BDC0-6670CE32F245}"/>
            </a:ext>
          </a:extLst>
        </xdr:cNvPr>
        <xdr:cNvSpPr/>
      </xdr:nvSpPr>
      <xdr:spPr>
        <a:xfrm rot="5400000">
          <a:off x="4912043" y="11491912"/>
          <a:ext cx="220980" cy="1503045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21</xdr:col>
      <xdr:colOff>15240</xdr:colOff>
      <xdr:row>54</xdr:row>
      <xdr:rowOff>83820</xdr:rowOff>
    </xdr:from>
    <xdr:to>
      <xdr:col>32</xdr:col>
      <xdr:colOff>480060</xdr:colOff>
      <xdr:row>82</xdr:row>
      <xdr:rowOff>157321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F862499-225F-4715-B073-DEFEC33AB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7390" y="10370820"/>
          <a:ext cx="7170420" cy="5550376"/>
        </a:xfrm>
        <a:prstGeom prst="rect">
          <a:avLst/>
        </a:prstGeom>
      </xdr:spPr>
    </xdr:pic>
    <xdr:clientData/>
  </xdr:twoCellAnchor>
  <xdr:twoCellAnchor>
    <xdr:from>
      <xdr:col>9</xdr:col>
      <xdr:colOff>219075</xdr:colOff>
      <xdr:row>68</xdr:row>
      <xdr:rowOff>106680</xdr:rowOff>
    </xdr:from>
    <xdr:to>
      <xdr:col>20</xdr:col>
      <xdr:colOff>502921</xdr:colOff>
      <xdr:row>68</xdr:row>
      <xdr:rowOff>106680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4F14F79A-8722-4174-8CE9-523C2C42B206}"/>
            </a:ext>
          </a:extLst>
        </xdr:cNvPr>
        <xdr:cNvCxnSpPr/>
      </xdr:nvCxnSpPr>
      <xdr:spPr>
        <a:xfrm flipH="1">
          <a:off x="7829550" y="13146405"/>
          <a:ext cx="9265921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</xdr:row>
      <xdr:rowOff>0</xdr:rowOff>
    </xdr:from>
    <xdr:to>
      <xdr:col>14</xdr:col>
      <xdr:colOff>937260</xdr:colOff>
      <xdr:row>6</xdr:row>
      <xdr:rowOff>68580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69DDDC-4783-4588-9C4F-65EFA09AAAD2}"/>
            </a:ext>
          </a:extLst>
        </xdr:cNvPr>
        <xdr:cNvSpPr txBox="1"/>
      </xdr:nvSpPr>
      <xdr:spPr>
        <a:xfrm>
          <a:off x="8557260" y="182880"/>
          <a:ext cx="5981700" cy="98298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 eaLnBrk="1" latinLnBrk="0" hangingPunct="1"/>
          <a:r>
            <a:rPr lang="en-US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Aerodynamics for Engineers (6th Edition). J. Bertin, R. Cummings. </a:t>
          </a:r>
        </a:p>
        <a:p>
          <a:pPr rtl="0" eaLnBrk="1" latinLnBrk="0" hangingPunct="1"/>
          <a:r>
            <a:rPr lang="en-US" sz="14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Example 7.2 - International</a:t>
          </a:r>
          <a:r>
            <a:rPr lang="en-US" sz="14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system </a:t>
          </a:r>
          <a:r>
            <a:rPr lang="en-US" sz="14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units</a:t>
          </a:r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rtl="0" eaLnBrk="1" latinLnBrk="0" hangingPunct="1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This implementation does not takes into account neither</a:t>
          </a:r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 aerodynamic twist nor geometrical twist</a:t>
          </a:r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457199</xdr:colOff>
      <xdr:row>27</xdr:row>
      <xdr:rowOff>123826</xdr:rowOff>
    </xdr:from>
    <xdr:to>
      <xdr:col>15</xdr:col>
      <xdr:colOff>323849</xdr:colOff>
      <xdr:row>45</xdr:row>
      <xdr:rowOff>169836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BC367474-C07C-4EF6-94E5-6CA3F8891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4" y="5267326"/>
          <a:ext cx="5838825" cy="347501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37</xdr:row>
      <xdr:rowOff>114300</xdr:rowOff>
    </xdr:from>
    <xdr:to>
      <xdr:col>1</xdr:col>
      <xdr:colOff>1000519</xdr:colOff>
      <xdr:row>41</xdr:row>
      <xdr:rowOff>44866</xdr:rowOff>
    </xdr:to>
    <xdr:pic>
      <xdr:nvPicPr>
        <xdr:cNvPr id="74" name="Picture 73" descr="A close up of a logo&#10;&#10;Description automatically generated">
          <a:extLst>
            <a:ext uri="{FF2B5EF4-FFF2-40B4-BE49-F238E27FC236}">
              <a16:creationId xmlns:a16="http://schemas.microsoft.com/office/drawing/2014/main" id="{BE96C34A-0336-4418-877B-6BEB76AD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2800"/>
          <a:ext cx="1029094" cy="692566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37</xdr:row>
      <xdr:rowOff>57150</xdr:rowOff>
    </xdr:from>
    <xdr:to>
      <xdr:col>5</xdr:col>
      <xdr:colOff>476250</xdr:colOff>
      <xdr:row>42</xdr:row>
      <xdr:rowOff>41910</xdr:rowOff>
    </xdr:to>
    <xdr:pic>
      <xdr:nvPicPr>
        <xdr:cNvPr id="75" name="Graphic 11">
          <a:extLst>
            <a:ext uri="{FF2B5EF4-FFF2-40B4-BE49-F238E27FC236}">
              <a16:creationId xmlns:a16="http://schemas.microsoft.com/office/drawing/2014/main" id="{69B9C949-87DF-456E-A7A5-01D4A49C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2343150" y="7105650"/>
          <a:ext cx="2400300" cy="937260"/>
        </a:xfrm>
        <a:prstGeom prst="rect">
          <a:avLst/>
        </a:prstGeom>
      </xdr:spPr>
    </xdr:pic>
    <xdr:clientData/>
  </xdr:twoCellAnchor>
  <xdr:twoCellAnchor editAs="oneCell">
    <xdr:from>
      <xdr:col>15</xdr:col>
      <xdr:colOff>567019</xdr:colOff>
      <xdr:row>0</xdr:row>
      <xdr:rowOff>190499</xdr:rowOff>
    </xdr:from>
    <xdr:to>
      <xdr:col>24</xdr:col>
      <xdr:colOff>71383</xdr:colOff>
      <xdr:row>12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F21112-70EB-4484-907C-28AF5C067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4149669" y="190499"/>
          <a:ext cx="4952664" cy="2181225"/>
        </a:xfrm>
        <a:prstGeom prst="rect">
          <a:avLst/>
        </a:prstGeom>
      </xdr:spPr>
    </xdr:pic>
    <xdr:clientData/>
  </xdr:twoCellAnchor>
  <xdr:twoCellAnchor>
    <xdr:from>
      <xdr:col>10</xdr:col>
      <xdr:colOff>161925</xdr:colOff>
      <xdr:row>17</xdr:row>
      <xdr:rowOff>104775</xdr:rowOff>
    </xdr:from>
    <xdr:to>
      <xdr:col>11</xdr:col>
      <xdr:colOff>134620</xdr:colOff>
      <xdr:row>17</xdr:row>
      <xdr:rowOff>104775</xdr:rowOff>
    </xdr:to>
    <xdr:cxnSp macro="">
      <xdr:nvCxnSpPr>
        <xdr:cNvPr id="77" name="Straight Arrow Connector 76">
          <a:extLst>
            <a:ext uri="{FF2B5EF4-FFF2-40B4-BE49-F238E27FC236}">
              <a16:creationId xmlns:a16="http://schemas.microsoft.com/office/drawing/2014/main" id="{3339F609-5252-46F3-8365-D0C851D6242B}"/>
            </a:ext>
          </a:extLst>
        </xdr:cNvPr>
        <xdr:cNvCxnSpPr/>
      </xdr:nvCxnSpPr>
      <xdr:spPr>
        <a:xfrm flipH="1">
          <a:off x="8753475" y="3343275"/>
          <a:ext cx="9728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70483</xdr:colOff>
      <xdr:row>56</xdr:row>
      <xdr:rowOff>115612</xdr:rowOff>
    </xdr:from>
    <xdr:to>
      <xdr:col>20</xdr:col>
      <xdr:colOff>422908</xdr:colOff>
      <xdr:row>60</xdr:row>
      <xdr:rowOff>104182</xdr:rowOff>
    </xdr:to>
    <xdr:pic>
      <xdr:nvPicPr>
        <xdr:cNvPr id="2" name="Graphic 51">
          <a:extLst>
            <a:ext uri="{FF2B5EF4-FFF2-40B4-BE49-F238E27FC236}">
              <a16:creationId xmlns:a16="http://schemas.microsoft.com/office/drawing/2014/main" id="{B0D28FBB-6597-47DE-B0A7-39C83269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653133" y="10783612"/>
          <a:ext cx="3362325" cy="836295"/>
        </a:xfrm>
        <a:prstGeom prst="rect">
          <a:avLst/>
        </a:prstGeom>
      </xdr:spPr>
    </xdr:pic>
    <xdr:clientData/>
  </xdr:twoCellAnchor>
  <xdr:twoCellAnchor editAs="oneCell">
    <xdr:from>
      <xdr:col>4</xdr:col>
      <xdr:colOff>558800</xdr:colOff>
      <xdr:row>46</xdr:row>
      <xdr:rowOff>56116</xdr:rowOff>
    </xdr:from>
    <xdr:to>
      <xdr:col>8</xdr:col>
      <xdr:colOff>21590</xdr:colOff>
      <xdr:row>50</xdr:row>
      <xdr:rowOff>143746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DC9B18BD-46B2-40E5-B502-B5EBCCAF2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44950" y="8819116"/>
          <a:ext cx="2606040" cy="849630"/>
        </a:xfrm>
        <a:prstGeom prst="rect">
          <a:avLst/>
        </a:prstGeom>
      </xdr:spPr>
    </xdr:pic>
    <xdr:clientData/>
  </xdr:twoCellAnchor>
  <xdr:twoCellAnchor editAs="oneCell">
    <xdr:from>
      <xdr:col>14</xdr:col>
      <xdr:colOff>636270</xdr:colOff>
      <xdr:row>49</xdr:row>
      <xdr:rowOff>118360</xdr:rowOff>
    </xdr:from>
    <xdr:to>
      <xdr:col>16</xdr:col>
      <xdr:colOff>388620</xdr:colOff>
      <xdr:row>52</xdr:row>
      <xdr:rowOff>19300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85A3CD10-539B-4219-B0C1-D50344E3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3142595" y="9452860"/>
          <a:ext cx="1419225" cy="472440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243840</xdr:colOff>
      <xdr:row>74</xdr:row>
      <xdr:rowOff>169241</xdr:rowOff>
    </xdr:from>
    <xdr:to>
      <xdr:col>13</xdr:col>
      <xdr:colOff>453390</xdr:colOff>
      <xdr:row>80</xdr:row>
      <xdr:rowOff>13031</xdr:rowOff>
    </xdr:to>
    <xdr:pic>
      <xdr:nvPicPr>
        <xdr:cNvPr id="5" name="Graphic 51">
          <a:extLst>
            <a:ext uri="{FF2B5EF4-FFF2-40B4-BE49-F238E27FC236}">
              <a16:creationId xmlns:a16="http://schemas.microsoft.com/office/drawing/2014/main" id="{377553DB-B643-409E-B781-FF87D996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873240" y="14351966"/>
          <a:ext cx="5019675" cy="104394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82</xdr:row>
      <xdr:rowOff>167640</xdr:rowOff>
    </xdr:from>
    <xdr:to>
      <xdr:col>12</xdr:col>
      <xdr:colOff>849630</xdr:colOff>
      <xdr:row>85</xdr:row>
      <xdr:rowOff>148936</xdr:rowOff>
    </xdr:to>
    <xdr:pic>
      <xdr:nvPicPr>
        <xdr:cNvPr id="6" name="Graphic 11">
          <a:extLst>
            <a:ext uri="{FF2B5EF4-FFF2-40B4-BE49-F238E27FC236}">
              <a16:creationId xmlns:a16="http://schemas.microsoft.com/office/drawing/2014/main" id="{A8E3B783-0880-4495-B00E-8A9A6CEF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429875" y="15931515"/>
          <a:ext cx="944880" cy="552796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82</xdr:row>
      <xdr:rowOff>168079</xdr:rowOff>
    </xdr:from>
    <xdr:to>
      <xdr:col>10</xdr:col>
      <xdr:colOff>807720</xdr:colOff>
      <xdr:row>86</xdr:row>
      <xdr:rowOff>34288</xdr:rowOff>
    </xdr:to>
    <xdr:pic>
      <xdr:nvPicPr>
        <xdr:cNvPr id="7" name="Graphic 13">
          <a:extLst>
            <a:ext uri="{FF2B5EF4-FFF2-40B4-BE49-F238E27FC236}">
              <a16:creationId xmlns:a16="http://schemas.microsoft.com/office/drawing/2014/main" id="{F193DE16-E554-424E-A6C9-5EBEA66CB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353300" y="15931954"/>
          <a:ext cx="2045970" cy="628209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86</xdr:row>
      <xdr:rowOff>114445</xdr:rowOff>
    </xdr:from>
    <xdr:to>
      <xdr:col>4</xdr:col>
      <xdr:colOff>3810</xdr:colOff>
      <xdr:row>91</xdr:row>
      <xdr:rowOff>76345</xdr:rowOff>
    </xdr:to>
    <xdr:pic>
      <xdr:nvPicPr>
        <xdr:cNvPr id="8" name="Graphic 26">
          <a:extLst>
            <a:ext uri="{FF2B5EF4-FFF2-40B4-BE49-F238E27FC236}">
              <a16:creationId xmlns:a16="http://schemas.microsoft.com/office/drawing/2014/main" id="{C9BB059D-E9DB-4EEE-BA9A-6139B7F1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581150" y="16640320"/>
          <a:ext cx="190881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175260</xdr:colOff>
      <xdr:row>103</xdr:row>
      <xdr:rowOff>68580</xdr:rowOff>
    </xdr:from>
    <xdr:to>
      <xdr:col>8</xdr:col>
      <xdr:colOff>228600</xdr:colOff>
      <xdr:row>108</xdr:row>
      <xdr:rowOff>106680</xdr:rowOff>
    </xdr:to>
    <xdr:pic>
      <xdr:nvPicPr>
        <xdr:cNvPr id="9" name="Graphic 40">
          <a:extLst>
            <a:ext uri="{FF2B5EF4-FFF2-40B4-BE49-F238E27FC236}">
              <a16:creationId xmlns:a16="http://schemas.microsoft.com/office/drawing/2014/main" id="{C2FDC206-269C-48BD-A1DA-E03DA86D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442460" y="19937730"/>
          <a:ext cx="241554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693420</xdr:colOff>
      <xdr:row>113</xdr:row>
      <xdr:rowOff>30480</xdr:rowOff>
    </xdr:from>
    <xdr:to>
      <xdr:col>7</xdr:col>
      <xdr:colOff>102870</xdr:colOff>
      <xdr:row>115</xdr:row>
      <xdr:rowOff>179070</xdr:rowOff>
    </xdr:to>
    <xdr:pic>
      <xdr:nvPicPr>
        <xdr:cNvPr id="10" name="Graphic 2">
          <a:extLst>
            <a:ext uri="{FF2B5EF4-FFF2-40B4-BE49-F238E27FC236}">
              <a16:creationId xmlns:a16="http://schemas.microsoft.com/office/drawing/2014/main" id="{E3FECA61-91FF-41A3-8DA1-814C031F6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179570" y="21804630"/>
          <a:ext cx="1714500" cy="529590"/>
        </a:xfrm>
        <a:prstGeom prst="rect">
          <a:avLst/>
        </a:prstGeom>
      </xdr:spPr>
    </xdr:pic>
    <xdr:clientData/>
  </xdr:twoCellAnchor>
  <xdr:twoCellAnchor editAs="oneCell">
    <xdr:from>
      <xdr:col>9</xdr:col>
      <xdr:colOff>160018</xdr:colOff>
      <xdr:row>116</xdr:row>
      <xdr:rowOff>22859</xdr:rowOff>
    </xdr:from>
    <xdr:to>
      <xdr:col>12</xdr:col>
      <xdr:colOff>567688</xdr:colOff>
      <xdr:row>121</xdr:row>
      <xdr:rowOff>22859</xdr:rowOff>
    </xdr:to>
    <xdr:pic>
      <xdr:nvPicPr>
        <xdr:cNvPr id="11" name="Graphic 11">
          <a:extLst>
            <a:ext uri="{FF2B5EF4-FFF2-40B4-BE49-F238E27FC236}">
              <a16:creationId xmlns:a16="http://schemas.microsoft.com/office/drawing/2014/main" id="{B03C189A-B34D-4C42-8384-A8E23FF3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7770493" y="22368509"/>
          <a:ext cx="332232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411479</xdr:colOff>
      <xdr:row>119</xdr:row>
      <xdr:rowOff>160020</xdr:rowOff>
    </xdr:from>
    <xdr:to>
      <xdr:col>8</xdr:col>
      <xdr:colOff>864869</xdr:colOff>
      <xdr:row>124</xdr:row>
      <xdr:rowOff>64770</xdr:rowOff>
    </xdr:to>
    <xdr:pic>
      <xdr:nvPicPr>
        <xdr:cNvPr id="12" name="Graphic 17">
          <a:extLst>
            <a:ext uri="{FF2B5EF4-FFF2-40B4-BE49-F238E27FC236}">
              <a16:creationId xmlns:a16="http://schemas.microsoft.com/office/drawing/2014/main" id="{6CBD783C-9292-4F30-9FC7-2E9782FD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6202679" y="23077170"/>
          <a:ext cx="1291590" cy="857250"/>
        </a:xfrm>
        <a:prstGeom prst="rect">
          <a:avLst/>
        </a:prstGeom>
      </xdr:spPr>
    </xdr:pic>
    <xdr:clientData/>
  </xdr:twoCellAnchor>
  <xdr:twoCellAnchor editAs="oneCell">
    <xdr:from>
      <xdr:col>8</xdr:col>
      <xdr:colOff>388619</xdr:colOff>
      <xdr:row>124</xdr:row>
      <xdr:rowOff>175260</xdr:rowOff>
    </xdr:from>
    <xdr:to>
      <xdr:col>11</xdr:col>
      <xdr:colOff>102869</xdr:colOff>
      <xdr:row>129</xdr:row>
      <xdr:rowOff>99060</xdr:rowOff>
    </xdr:to>
    <xdr:pic>
      <xdr:nvPicPr>
        <xdr:cNvPr id="13" name="Graphic 3">
          <a:extLst>
            <a:ext uri="{FF2B5EF4-FFF2-40B4-BE49-F238E27FC236}">
              <a16:creationId xmlns:a16="http://schemas.microsoft.com/office/drawing/2014/main" id="{BD2BFE44-F02B-4CA2-ACC5-BEF0C2D6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7018019" y="24044910"/>
          <a:ext cx="2676525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75565</xdr:colOff>
      <xdr:row>51</xdr:row>
      <xdr:rowOff>156571</xdr:rowOff>
    </xdr:from>
    <xdr:to>
      <xdr:col>7</xdr:col>
      <xdr:colOff>113665</xdr:colOff>
      <xdr:row>56</xdr:row>
      <xdr:rowOff>61321</xdr:rowOff>
    </xdr:to>
    <xdr:pic>
      <xdr:nvPicPr>
        <xdr:cNvPr id="14" name="Graphic 4">
          <a:extLst>
            <a:ext uri="{FF2B5EF4-FFF2-40B4-BE49-F238E27FC236}">
              <a16:creationId xmlns:a16="http://schemas.microsoft.com/office/drawing/2014/main" id="{0841374D-F7E7-4851-90AB-5EA1A13A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342765" y="9872071"/>
          <a:ext cx="156210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624839</xdr:colOff>
      <xdr:row>125</xdr:row>
      <xdr:rowOff>0</xdr:rowOff>
    </xdr:from>
    <xdr:to>
      <xdr:col>7</xdr:col>
      <xdr:colOff>834389</xdr:colOff>
      <xdr:row>129</xdr:row>
      <xdr:rowOff>106680</xdr:rowOff>
    </xdr:to>
    <xdr:pic>
      <xdr:nvPicPr>
        <xdr:cNvPr id="15" name="Graphic 6">
          <a:extLst>
            <a:ext uri="{FF2B5EF4-FFF2-40B4-BE49-F238E27FC236}">
              <a16:creationId xmlns:a16="http://schemas.microsoft.com/office/drawing/2014/main" id="{56A37E59-6EAC-42FA-B596-65E9A53D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110989" y="24060150"/>
          <a:ext cx="2514600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157</xdr:row>
      <xdr:rowOff>91440</xdr:rowOff>
    </xdr:from>
    <xdr:to>
      <xdr:col>4</xdr:col>
      <xdr:colOff>16415</xdr:colOff>
      <xdr:row>162</xdr:row>
      <xdr:rowOff>135255</xdr:rowOff>
    </xdr:to>
    <xdr:pic>
      <xdr:nvPicPr>
        <xdr:cNvPr id="16" name="Graphic 4">
          <a:extLst>
            <a:ext uri="{FF2B5EF4-FFF2-40B4-BE49-F238E27FC236}">
              <a16:creationId xmlns:a16="http://schemas.microsoft.com/office/drawing/2014/main" id="{6C5ADDA5-84B2-415A-95C9-086330F83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556260" y="30247590"/>
          <a:ext cx="2946305" cy="996315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165</xdr:row>
      <xdr:rowOff>137160</xdr:rowOff>
    </xdr:from>
    <xdr:to>
      <xdr:col>2</xdr:col>
      <xdr:colOff>393807</xdr:colOff>
      <xdr:row>169</xdr:row>
      <xdr:rowOff>66721</xdr:rowOff>
    </xdr:to>
    <xdr:pic>
      <xdr:nvPicPr>
        <xdr:cNvPr id="17" name="Graphic 6">
          <a:extLst>
            <a:ext uri="{FF2B5EF4-FFF2-40B4-BE49-F238E27FC236}">
              <a16:creationId xmlns:a16="http://schemas.microsoft.com/office/drawing/2014/main" id="{C15A4597-447B-4251-A0F3-9D5034988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556260" y="31817310"/>
          <a:ext cx="1523472" cy="691561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</xdr:colOff>
      <xdr:row>131</xdr:row>
      <xdr:rowOff>160020</xdr:rowOff>
    </xdr:from>
    <xdr:to>
      <xdr:col>8</xdr:col>
      <xdr:colOff>132734</xdr:colOff>
      <xdr:row>135</xdr:row>
      <xdr:rowOff>77780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3860052-61C3-463F-B866-CF01899FF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830" y="25363170"/>
          <a:ext cx="1645304" cy="67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600075</xdr:colOff>
      <xdr:row>14</xdr:row>
      <xdr:rowOff>179070</xdr:rowOff>
    </xdr:from>
    <xdr:to>
      <xdr:col>35</xdr:col>
      <xdr:colOff>569595</xdr:colOff>
      <xdr:row>51</xdr:row>
      <xdr:rowOff>180386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3C4F85D-B41D-4005-86D9-AD12282C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192625" y="2846070"/>
          <a:ext cx="9113520" cy="7049816"/>
        </a:xfrm>
        <a:prstGeom prst="rect">
          <a:avLst/>
        </a:prstGeom>
      </xdr:spPr>
    </xdr:pic>
    <xdr:clientData/>
  </xdr:twoCellAnchor>
  <xdr:twoCellAnchor>
    <xdr:from>
      <xdr:col>3</xdr:col>
      <xdr:colOff>111760</xdr:colOff>
      <xdr:row>48</xdr:row>
      <xdr:rowOff>96520</xdr:rowOff>
    </xdr:from>
    <xdr:to>
      <xdr:col>4</xdr:col>
      <xdr:colOff>543560</xdr:colOff>
      <xdr:row>48</xdr:row>
      <xdr:rowOff>96520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CFA047DC-E9F0-4851-ABEE-0062D15C018A}"/>
            </a:ext>
          </a:extLst>
        </xdr:cNvPr>
        <xdr:cNvCxnSpPr/>
      </xdr:nvCxnSpPr>
      <xdr:spPr>
        <a:xfrm flipH="1">
          <a:off x="2740660" y="924052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508635</xdr:colOff>
      <xdr:row>54</xdr:row>
      <xdr:rowOff>57171</xdr:rowOff>
    </xdr:from>
    <xdr:to>
      <xdr:col>8</xdr:col>
      <xdr:colOff>771524</xdr:colOff>
      <xdr:row>57</xdr:row>
      <xdr:rowOff>83820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5332095C-4C6B-4B07-82FC-CEF8C488AB70}"/>
            </a:ext>
          </a:extLst>
        </xdr:cNvPr>
        <xdr:cNvCxnSpPr/>
      </xdr:nvCxnSpPr>
      <xdr:spPr>
        <a:xfrm flipH="1">
          <a:off x="6299835" y="10344171"/>
          <a:ext cx="1101089" cy="59814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729614</xdr:colOff>
      <xdr:row>52</xdr:row>
      <xdr:rowOff>59076</xdr:rowOff>
    </xdr:from>
    <xdr:to>
      <xdr:col>11</xdr:col>
      <xdr:colOff>786764</xdr:colOff>
      <xdr:row>55</xdr:row>
      <xdr:rowOff>36216</xdr:rowOff>
    </xdr:to>
    <xdr:pic>
      <xdr:nvPicPr>
        <xdr:cNvPr id="22" name="Graphic 13">
          <a:extLst>
            <a:ext uri="{FF2B5EF4-FFF2-40B4-BE49-F238E27FC236}">
              <a16:creationId xmlns:a16="http://schemas.microsoft.com/office/drawing/2014/main" id="{58A06466-D07D-4265-A2D8-BE49C7B4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7359014" y="9965076"/>
          <a:ext cx="3019425" cy="54864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</xdr:row>
      <xdr:rowOff>142240</xdr:rowOff>
    </xdr:from>
    <xdr:to>
      <xdr:col>14</xdr:col>
      <xdr:colOff>1036320</xdr:colOff>
      <xdr:row>58</xdr:row>
      <xdr:rowOff>142240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19DC338F-E09B-49E0-B88C-8B8482238E4F}"/>
            </a:ext>
          </a:extLst>
        </xdr:cNvPr>
        <xdr:cNvCxnSpPr/>
      </xdr:nvCxnSpPr>
      <xdr:spPr>
        <a:xfrm flipH="1">
          <a:off x="12569825" y="11191240"/>
          <a:ext cx="9728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231140</xdr:colOff>
      <xdr:row>52</xdr:row>
      <xdr:rowOff>121920</xdr:rowOff>
    </xdr:from>
    <xdr:to>
      <xdr:col>15</xdr:col>
      <xdr:colOff>231140</xdr:colOff>
      <xdr:row>57</xdr:row>
      <xdr:rowOff>111760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73ECB252-2445-4B78-A685-E2B8A9194593}"/>
            </a:ext>
          </a:extLst>
        </xdr:cNvPr>
        <xdr:cNvCxnSpPr/>
      </xdr:nvCxnSpPr>
      <xdr:spPr>
        <a:xfrm>
          <a:off x="13813790" y="10027920"/>
          <a:ext cx="0" cy="9423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74</xdr:row>
      <xdr:rowOff>152400</xdr:rowOff>
    </xdr:from>
    <xdr:to>
      <xdr:col>6</xdr:col>
      <xdr:colOff>365760</xdr:colOff>
      <xdr:row>80</xdr:row>
      <xdr:rowOff>38100</xdr:rowOff>
    </xdr:to>
    <xdr:sp macro="" textlink="">
      <xdr:nvSpPr>
        <xdr:cNvPr id="25" name="Right Brace 24">
          <a:extLst>
            <a:ext uri="{FF2B5EF4-FFF2-40B4-BE49-F238E27FC236}">
              <a16:creationId xmlns:a16="http://schemas.microsoft.com/office/drawing/2014/main" id="{AD130EB1-78E7-4E83-94D4-B6E2964A6D2F}"/>
            </a:ext>
          </a:extLst>
        </xdr:cNvPr>
        <xdr:cNvSpPr/>
      </xdr:nvSpPr>
      <xdr:spPr>
        <a:xfrm>
          <a:off x="5185410" y="14335125"/>
          <a:ext cx="190500" cy="108585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528320</xdr:colOff>
      <xdr:row>77</xdr:row>
      <xdr:rowOff>58420</xdr:rowOff>
    </xdr:from>
    <xdr:to>
      <xdr:col>8</xdr:col>
      <xdr:colOff>182880</xdr:colOff>
      <xdr:row>77</xdr:row>
      <xdr:rowOff>58420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2528457C-0981-4B90-A52B-60391C89E46D}"/>
            </a:ext>
          </a:extLst>
        </xdr:cNvPr>
        <xdr:cNvCxnSpPr/>
      </xdr:nvCxnSpPr>
      <xdr:spPr>
        <a:xfrm flipH="1">
          <a:off x="5538470" y="14869795"/>
          <a:ext cx="127381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360680</xdr:colOff>
      <xdr:row>79</xdr:row>
      <xdr:rowOff>5080</xdr:rowOff>
    </xdr:from>
    <xdr:to>
      <xdr:col>12</xdr:col>
      <xdr:colOff>360680</xdr:colOff>
      <xdr:row>83</xdr:row>
      <xdr:rowOff>7620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2132EB2-8232-4DF3-B549-5B86E0F87F49}"/>
            </a:ext>
          </a:extLst>
        </xdr:cNvPr>
        <xdr:cNvCxnSpPr/>
      </xdr:nvCxnSpPr>
      <xdr:spPr>
        <a:xfrm flipV="1">
          <a:off x="10885805" y="15197455"/>
          <a:ext cx="0" cy="7645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1000760</xdr:colOff>
      <xdr:row>79</xdr:row>
      <xdr:rowOff>12700</xdr:rowOff>
    </xdr:from>
    <xdr:to>
      <xdr:col>8</xdr:col>
      <xdr:colOff>1000760</xdr:colOff>
      <xdr:row>83</xdr:row>
      <xdr:rowOff>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5F9DFECE-1487-4603-B54C-059F901E591F}"/>
            </a:ext>
          </a:extLst>
        </xdr:cNvPr>
        <xdr:cNvCxnSpPr/>
      </xdr:nvCxnSpPr>
      <xdr:spPr>
        <a:xfrm flipV="1">
          <a:off x="7611110" y="15205075"/>
          <a:ext cx="0" cy="74930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574040</xdr:colOff>
      <xdr:row>106</xdr:row>
      <xdr:rowOff>111760</xdr:rowOff>
    </xdr:from>
    <xdr:to>
      <xdr:col>5</xdr:col>
      <xdr:colOff>205740</xdr:colOff>
      <xdr:row>106</xdr:row>
      <xdr:rowOff>111760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54B0215A-6C8F-4A24-B4DC-CA3FE8177F03}"/>
            </a:ext>
          </a:extLst>
        </xdr:cNvPr>
        <xdr:cNvCxnSpPr/>
      </xdr:nvCxnSpPr>
      <xdr:spPr>
        <a:xfrm flipH="1">
          <a:off x="3202940" y="20552410"/>
          <a:ext cx="127000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220980</xdr:colOff>
      <xdr:row>103</xdr:row>
      <xdr:rowOff>129540</xdr:rowOff>
    </xdr:from>
    <xdr:to>
      <xdr:col>3</xdr:col>
      <xdr:colOff>411480</xdr:colOff>
      <xdr:row>109</xdr:row>
      <xdr:rowOff>83820</xdr:rowOff>
    </xdr:to>
    <xdr:sp macro="" textlink="">
      <xdr:nvSpPr>
        <xdr:cNvPr id="30" name="Right Brace 29">
          <a:extLst>
            <a:ext uri="{FF2B5EF4-FFF2-40B4-BE49-F238E27FC236}">
              <a16:creationId xmlns:a16="http://schemas.microsoft.com/office/drawing/2014/main" id="{13734C4B-DDF4-420E-9B77-DD633F319F0E}"/>
            </a:ext>
          </a:extLst>
        </xdr:cNvPr>
        <xdr:cNvSpPr/>
      </xdr:nvSpPr>
      <xdr:spPr>
        <a:xfrm>
          <a:off x="2849880" y="19998690"/>
          <a:ext cx="190500" cy="109728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563880</xdr:colOff>
      <xdr:row>99</xdr:row>
      <xdr:rowOff>76200</xdr:rowOff>
    </xdr:from>
    <xdr:to>
      <xdr:col>7</xdr:col>
      <xdr:colOff>15240</xdr:colOff>
      <xdr:row>105</xdr:row>
      <xdr:rowOff>5080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2E7ECD04-BD71-4F59-A6AB-C6E25CF16A7C}"/>
            </a:ext>
          </a:extLst>
        </xdr:cNvPr>
        <xdr:cNvCxnSpPr/>
      </xdr:nvCxnSpPr>
      <xdr:spPr>
        <a:xfrm flipH="1" flipV="1">
          <a:off x="4831080" y="19183350"/>
          <a:ext cx="975360" cy="10718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96</xdr:row>
      <xdr:rowOff>152400</xdr:rowOff>
    </xdr:from>
    <xdr:to>
      <xdr:col>5</xdr:col>
      <xdr:colOff>342900</xdr:colOff>
      <xdr:row>102</xdr:row>
      <xdr:rowOff>45720</xdr:rowOff>
    </xdr:to>
    <xdr:sp macro="" textlink="">
      <xdr:nvSpPr>
        <xdr:cNvPr id="32" name="Right Brace 31">
          <a:extLst>
            <a:ext uri="{FF2B5EF4-FFF2-40B4-BE49-F238E27FC236}">
              <a16:creationId xmlns:a16="http://schemas.microsoft.com/office/drawing/2014/main" id="{6B72B228-DB78-4A45-A65F-6268FA24B074}"/>
            </a:ext>
          </a:extLst>
        </xdr:cNvPr>
        <xdr:cNvSpPr/>
      </xdr:nvSpPr>
      <xdr:spPr>
        <a:xfrm>
          <a:off x="4419600" y="18640425"/>
          <a:ext cx="190500" cy="1083945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674370</xdr:colOff>
      <xdr:row>96</xdr:row>
      <xdr:rowOff>57150</xdr:rowOff>
    </xdr:from>
    <xdr:to>
      <xdr:col>8</xdr:col>
      <xdr:colOff>64770</xdr:colOff>
      <xdr:row>97</xdr:row>
      <xdr:rowOff>64770</xdr:rowOff>
    </xdr:to>
    <xdr:sp macro="" textlink="">
      <xdr:nvSpPr>
        <xdr:cNvPr id="33" name="Right Brace 32">
          <a:extLst>
            <a:ext uri="{FF2B5EF4-FFF2-40B4-BE49-F238E27FC236}">
              <a16:creationId xmlns:a16="http://schemas.microsoft.com/office/drawing/2014/main" id="{C89B6D6D-0590-42EF-B3B6-9F97E4D54EB0}"/>
            </a:ext>
          </a:extLst>
        </xdr:cNvPr>
        <xdr:cNvSpPr/>
      </xdr:nvSpPr>
      <xdr:spPr>
        <a:xfrm rot="5400000">
          <a:off x="6090285" y="18139410"/>
          <a:ext cx="198120" cy="100965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132080</xdr:colOff>
      <xdr:row>114</xdr:row>
      <xdr:rowOff>104140</xdr:rowOff>
    </xdr:from>
    <xdr:to>
      <xdr:col>4</xdr:col>
      <xdr:colOff>563880</xdr:colOff>
      <xdr:row>114</xdr:row>
      <xdr:rowOff>104140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16F88BEB-3943-4B65-ACF9-A392D217CFDF}"/>
            </a:ext>
          </a:extLst>
        </xdr:cNvPr>
        <xdr:cNvCxnSpPr/>
      </xdr:nvCxnSpPr>
      <xdr:spPr>
        <a:xfrm flipH="1">
          <a:off x="2760980" y="2206879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665480</xdr:colOff>
      <xdr:row>118</xdr:row>
      <xdr:rowOff>96520</xdr:rowOff>
    </xdr:from>
    <xdr:to>
      <xdr:col>9</xdr:col>
      <xdr:colOff>114300</xdr:colOff>
      <xdr:row>118</xdr:row>
      <xdr:rowOff>96520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995BA4A2-5774-4A30-88B9-E249A37C2F6C}"/>
            </a:ext>
          </a:extLst>
        </xdr:cNvPr>
        <xdr:cNvCxnSpPr/>
      </xdr:nvCxnSpPr>
      <xdr:spPr>
        <a:xfrm flipH="1">
          <a:off x="4932680" y="22823170"/>
          <a:ext cx="2792095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726440</xdr:colOff>
      <xdr:row>119</xdr:row>
      <xdr:rowOff>119380</xdr:rowOff>
    </xdr:from>
    <xdr:to>
      <xdr:col>7</xdr:col>
      <xdr:colOff>411479</xdr:colOff>
      <xdr:row>122</xdr:row>
      <xdr:rowOff>20955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20C4F41F-FACF-41EB-B17A-740F0F18C9F4}"/>
            </a:ext>
          </a:extLst>
        </xdr:cNvPr>
        <xdr:cNvCxnSpPr>
          <a:stCxn id="12" idx="1"/>
        </xdr:cNvCxnSpPr>
      </xdr:nvCxnSpPr>
      <xdr:spPr>
        <a:xfrm flipH="1" flipV="1">
          <a:off x="4993640" y="23036530"/>
          <a:ext cx="1209039" cy="473075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154940</xdr:colOff>
      <xdr:row>127</xdr:row>
      <xdr:rowOff>104140</xdr:rowOff>
    </xdr:from>
    <xdr:to>
      <xdr:col>4</xdr:col>
      <xdr:colOff>586740</xdr:colOff>
      <xdr:row>127</xdr:row>
      <xdr:rowOff>104140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6D305D4E-2E2B-4F0E-AB4F-2E7D8D29894E}"/>
            </a:ext>
          </a:extLst>
        </xdr:cNvPr>
        <xdr:cNvCxnSpPr/>
      </xdr:nvCxnSpPr>
      <xdr:spPr>
        <a:xfrm flipH="1">
          <a:off x="2783840" y="2454529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861060</xdr:colOff>
      <xdr:row>125</xdr:row>
      <xdr:rowOff>60960</xdr:rowOff>
    </xdr:from>
    <xdr:to>
      <xdr:col>14</xdr:col>
      <xdr:colOff>236426</xdr:colOff>
      <xdr:row>129</xdr:row>
      <xdr:rowOff>30541</xdr:rowOff>
    </xdr:to>
    <xdr:pic>
      <xdr:nvPicPr>
        <xdr:cNvPr id="38" name="Picture 37" descr="A close up of a logo&#10;&#10;Description automatically generated">
          <a:extLst>
            <a:ext uri="{FF2B5EF4-FFF2-40B4-BE49-F238E27FC236}">
              <a16:creationId xmlns:a16="http://schemas.microsoft.com/office/drawing/2014/main" id="{AA20427B-9E47-4323-9200-20F9AC67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2735" y="24121110"/>
          <a:ext cx="2290016" cy="731581"/>
        </a:xfrm>
        <a:prstGeom prst="rect">
          <a:avLst/>
        </a:prstGeom>
      </xdr:spPr>
    </xdr:pic>
    <xdr:clientData/>
  </xdr:twoCellAnchor>
  <xdr:twoCellAnchor>
    <xdr:from>
      <xdr:col>3</xdr:col>
      <xdr:colOff>711200</xdr:colOff>
      <xdr:row>133</xdr:row>
      <xdr:rowOff>96520</xdr:rowOff>
    </xdr:from>
    <xdr:to>
      <xdr:col>5</xdr:col>
      <xdr:colOff>655320</xdr:colOff>
      <xdr:row>133</xdr:row>
      <xdr:rowOff>96520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70D07CC3-5DA3-43EC-A5BC-AA815FE025E4}"/>
            </a:ext>
          </a:extLst>
        </xdr:cNvPr>
        <xdr:cNvCxnSpPr/>
      </xdr:nvCxnSpPr>
      <xdr:spPr>
        <a:xfrm flipH="1">
          <a:off x="3340100" y="25680670"/>
          <a:ext cx="15824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159</xdr:row>
      <xdr:rowOff>60960</xdr:rowOff>
    </xdr:from>
    <xdr:to>
      <xdr:col>8</xdr:col>
      <xdr:colOff>518160</xdr:colOff>
      <xdr:row>161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A8BF167-A802-469D-BC39-D1896219AFBF}"/>
            </a:ext>
          </a:extLst>
        </xdr:cNvPr>
        <xdr:cNvSpPr txBox="1"/>
      </xdr:nvSpPr>
      <xdr:spPr>
        <a:xfrm>
          <a:off x="5185410" y="30598110"/>
          <a:ext cx="1962150" cy="434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Downwash</a:t>
          </a:r>
        </a:p>
      </xdr:txBody>
    </xdr:sp>
    <xdr:clientData/>
  </xdr:twoCellAnchor>
  <xdr:twoCellAnchor>
    <xdr:from>
      <xdr:col>6</xdr:col>
      <xdr:colOff>160020</xdr:colOff>
      <xdr:row>166</xdr:row>
      <xdr:rowOff>76200</xdr:rowOff>
    </xdr:from>
    <xdr:to>
      <xdr:col>8</xdr:col>
      <xdr:colOff>502920</xdr:colOff>
      <xdr:row>168</xdr:row>
      <xdr:rowOff>129540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9DE5305-6E44-42D0-9206-7C227A805A0D}"/>
            </a:ext>
          </a:extLst>
        </xdr:cNvPr>
        <xdr:cNvSpPr txBox="1"/>
      </xdr:nvSpPr>
      <xdr:spPr>
        <a:xfrm>
          <a:off x="5170170" y="31946850"/>
          <a:ext cx="1962150" cy="434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Induced angle</a:t>
          </a:r>
        </a:p>
      </xdr:txBody>
    </xdr:sp>
    <xdr:clientData/>
  </xdr:twoCellAnchor>
  <xdr:twoCellAnchor>
    <xdr:from>
      <xdr:col>4</xdr:col>
      <xdr:colOff>33020</xdr:colOff>
      <xdr:row>160</xdr:row>
      <xdr:rowOff>81280</xdr:rowOff>
    </xdr:from>
    <xdr:to>
      <xdr:col>6</xdr:col>
      <xdr:colOff>99060</xdr:colOff>
      <xdr:row>160</xdr:row>
      <xdr:rowOff>81280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8F2E4367-6F4E-4BEF-A46E-675115F5FC55}"/>
            </a:ext>
          </a:extLst>
        </xdr:cNvPr>
        <xdr:cNvCxnSpPr/>
      </xdr:nvCxnSpPr>
      <xdr:spPr>
        <a:xfrm flipH="1">
          <a:off x="3519170" y="30808930"/>
          <a:ext cx="159004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368300</xdr:colOff>
      <xdr:row>167</xdr:row>
      <xdr:rowOff>104140</xdr:rowOff>
    </xdr:from>
    <xdr:to>
      <xdr:col>6</xdr:col>
      <xdr:colOff>83820</xdr:colOff>
      <xdr:row>167</xdr:row>
      <xdr:rowOff>104140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4AB421DE-0C4B-415E-B200-798AB27E9EDB}"/>
            </a:ext>
          </a:extLst>
        </xdr:cNvPr>
        <xdr:cNvCxnSpPr/>
      </xdr:nvCxnSpPr>
      <xdr:spPr>
        <a:xfrm flipH="1">
          <a:off x="2054225" y="32165290"/>
          <a:ext cx="3039745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30480</xdr:colOff>
      <xdr:row>143</xdr:row>
      <xdr:rowOff>0</xdr:rowOff>
    </xdr:from>
    <xdr:to>
      <xdr:col>10</xdr:col>
      <xdr:colOff>579120</xdr:colOff>
      <xdr:row>147</xdr:row>
      <xdr:rowOff>49530</xdr:rowOff>
    </xdr:to>
    <xdr:pic>
      <xdr:nvPicPr>
        <xdr:cNvPr id="44" name="Graphic 2">
          <a:extLst>
            <a:ext uri="{FF2B5EF4-FFF2-40B4-BE49-F238E27FC236}">
              <a16:creationId xmlns:a16="http://schemas.microsoft.com/office/drawing/2014/main" id="{7B4147B1-B170-4F7C-93F5-DDCC25225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9"/>
            </a:ext>
          </a:extLst>
        </a:blip>
        <a:stretch>
          <a:fillRect/>
        </a:stretch>
      </xdr:blipFill>
      <xdr:spPr>
        <a:xfrm>
          <a:off x="5821680" y="27489150"/>
          <a:ext cx="3348990" cy="811530"/>
        </a:xfrm>
        <a:prstGeom prst="rect">
          <a:avLst/>
        </a:prstGeom>
      </xdr:spPr>
    </xdr:pic>
    <xdr:clientData/>
  </xdr:twoCellAnchor>
  <xdr:twoCellAnchor>
    <xdr:from>
      <xdr:col>3</xdr:col>
      <xdr:colOff>414020</xdr:colOff>
      <xdr:row>144</xdr:row>
      <xdr:rowOff>96520</xdr:rowOff>
    </xdr:from>
    <xdr:to>
      <xdr:col>6</xdr:col>
      <xdr:colOff>784860</xdr:colOff>
      <xdr:row>144</xdr:row>
      <xdr:rowOff>96520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AE470184-683A-4CBC-BE0F-2092A7DC59B7}"/>
            </a:ext>
          </a:extLst>
        </xdr:cNvPr>
        <xdr:cNvCxnSpPr/>
      </xdr:nvCxnSpPr>
      <xdr:spPr>
        <a:xfrm flipH="1">
          <a:off x="3042920" y="27776170"/>
          <a:ext cx="275209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114301</xdr:colOff>
      <xdr:row>148</xdr:row>
      <xdr:rowOff>76201</xdr:rowOff>
    </xdr:from>
    <xdr:to>
      <xdr:col>10</xdr:col>
      <xdr:colOff>82544</xdr:colOff>
      <xdr:row>152</xdr:row>
      <xdr:rowOff>158568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10D823-C85D-4571-B5EA-9B7A53EFE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28517851"/>
          <a:ext cx="2768593" cy="84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398780</xdr:colOff>
      <xdr:row>150</xdr:row>
      <xdr:rowOff>111760</xdr:rowOff>
    </xdr:from>
    <xdr:to>
      <xdr:col>6</xdr:col>
      <xdr:colOff>769620</xdr:colOff>
      <xdr:row>150</xdr:row>
      <xdr:rowOff>111760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7FEBF1C8-3027-4D8F-B575-733FDC6C8D04}"/>
            </a:ext>
          </a:extLst>
        </xdr:cNvPr>
        <xdr:cNvCxnSpPr/>
      </xdr:nvCxnSpPr>
      <xdr:spPr>
        <a:xfrm flipH="1">
          <a:off x="3027680" y="28934410"/>
          <a:ext cx="275209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457201</xdr:colOff>
      <xdr:row>147</xdr:row>
      <xdr:rowOff>160020</xdr:rowOff>
    </xdr:from>
    <xdr:to>
      <xdr:col>5</xdr:col>
      <xdr:colOff>71742</xdr:colOff>
      <xdr:row>149</xdr:row>
      <xdr:rowOff>46656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9EF06F3-FE28-4E0D-97B1-2B36FBE7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1" y="28411170"/>
          <a:ext cx="1252841" cy="26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411480</xdr:colOff>
      <xdr:row>98</xdr:row>
      <xdr:rowOff>38100</xdr:rowOff>
    </xdr:from>
    <xdr:to>
      <xdr:col>7</xdr:col>
      <xdr:colOff>718820</xdr:colOff>
      <xdr:row>104</xdr:row>
      <xdr:rowOff>144780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4867855D-ACB5-4181-AA7C-6C419BEACBA2}"/>
            </a:ext>
          </a:extLst>
        </xdr:cNvPr>
        <xdr:cNvCxnSpPr/>
      </xdr:nvCxnSpPr>
      <xdr:spPr>
        <a:xfrm flipH="1" flipV="1">
          <a:off x="6202680" y="18954750"/>
          <a:ext cx="307340" cy="12496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739775</xdr:colOff>
      <xdr:row>65</xdr:row>
      <xdr:rowOff>35560</xdr:rowOff>
    </xdr:from>
    <xdr:to>
      <xdr:col>5</xdr:col>
      <xdr:colOff>739775</xdr:colOff>
      <xdr:row>66</xdr:row>
      <xdr:rowOff>129540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5417FB3B-0A8D-4A09-BBE8-9160602290E9}"/>
            </a:ext>
          </a:extLst>
        </xdr:cNvPr>
        <xdr:cNvCxnSpPr/>
      </xdr:nvCxnSpPr>
      <xdr:spPr>
        <a:xfrm flipV="1">
          <a:off x="5006975" y="12503785"/>
          <a:ext cx="0" cy="2844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737235</xdr:colOff>
      <xdr:row>66</xdr:row>
      <xdr:rowOff>184785</xdr:rowOff>
    </xdr:from>
    <xdr:to>
      <xdr:col>8</xdr:col>
      <xdr:colOff>962025</xdr:colOff>
      <xdr:row>70</xdr:row>
      <xdr:rowOff>108585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6EEFC7F-FE51-4C17-8DD8-8DC95DBA462B}"/>
            </a:ext>
          </a:extLst>
        </xdr:cNvPr>
        <xdr:cNvSpPr txBox="1"/>
      </xdr:nvSpPr>
      <xdr:spPr>
        <a:xfrm>
          <a:off x="2423160" y="12843510"/>
          <a:ext cx="5168265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careful to check if you are using wing-span b or wing semi-span b/2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These values are not used in the actual computation. 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They represent the domain transformation.</a:t>
          </a:r>
        </a:p>
      </xdr:txBody>
    </xdr:sp>
    <xdr:clientData/>
  </xdr:twoCellAnchor>
  <xdr:twoCellAnchor>
    <xdr:from>
      <xdr:col>5</xdr:col>
      <xdr:colOff>5715</xdr:colOff>
      <xdr:row>56</xdr:row>
      <xdr:rowOff>129540</xdr:rowOff>
    </xdr:from>
    <xdr:to>
      <xdr:col>6</xdr:col>
      <xdr:colOff>775335</xdr:colOff>
      <xdr:row>57</xdr:row>
      <xdr:rowOff>160020</xdr:rowOff>
    </xdr:to>
    <xdr:sp macro="" textlink="">
      <xdr:nvSpPr>
        <xdr:cNvPr id="52" name="Right Brace 51">
          <a:extLst>
            <a:ext uri="{FF2B5EF4-FFF2-40B4-BE49-F238E27FC236}">
              <a16:creationId xmlns:a16="http://schemas.microsoft.com/office/drawing/2014/main" id="{A6D24E46-9FBD-45E9-BB04-6793BE8CBD0E}"/>
            </a:ext>
          </a:extLst>
        </xdr:cNvPr>
        <xdr:cNvSpPr/>
      </xdr:nvSpPr>
      <xdr:spPr>
        <a:xfrm rot="16200000">
          <a:off x="4918710" y="10151745"/>
          <a:ext cx="220980" cy="151257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3810</xdr:colOff>
      <xdr:row>63</xdr:row>
      <xdr:rowOff>45720</xdr:rowOff>
    </xdr:from>
    <xdr:to>
      <xdr:col>6</xdr:col>
      <xdr:colOff>763905</xdr:colOff>
      <xdr:row>64</xdr:row>
      <xdr:rowOff>76200</xdr:rowOff>
    </xdr:to>
    <xdr:sp macro="" textlink="">
      <xdr:nvSpPr>
        <xdr:cNvPr id="53" name="Right Brace 52">
          <a:extLst>
            <a:ext uri="{FF2B5EF4-FFF2-40B4-BE49-F238E27FC236}">
              <a16:creationId xmlns:a16="http://schemas.microsoft.com/office/drawing/2014/main" id="{F1899376-4670-4C7A-8655-2CA683C919A9}"/>
            </a:ext>
          </a:extLst>
        </xdr:cNvPr>
        <xdr:cNvSpPr/>
      </xdr:nvSpPr>
      <xdr:spPr>
        <a:xfrm rot="5400000">
          <a:off x="4912043" y="11491912"/>
          <a:ext cx="220980" cy="1503045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21</xdr:col>
      <xdr:colOff>15240</xdr:colOff>
      <xdr:row>54</xdr:row>
      <xdr:rowOff>83820</xdr:rowOff>
    </xdr:from>
    <xdr:to>
      <xdr:col>32</xdr:col>
      <xdr:colOff>480060</xdr:colOff>
      <xdr:row>82</xdr:row>
      <xdr:rowOff>157321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E315C03-CA16-493A-9510-6C7321308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7390" y="10370820"/>
          <a:ext cx="7170420" cy="5550376"/>
        </a:xfrm>
        <a:prstGeom prst="rect">
          <a:avLst/>
        </a:prstGeom>
      </xdr:spPr>
    </xdr:pic>
    <xdr:clientData/>
  </xdr:twoCellAnchor>
  <xdr:twoCellAnchor>
    <xdr:from>
      <xdr:col>9</xdr:col>
      <xdr:colOff>219075</xdr:colOff>
      <xdr:row>68</xdr:row>
      <xdr:rowOff>106680</xdr:rowOff>
    </xdr:from>
    <xdr:to>
      <xdr:col>20</xdr:col>
      <xdr:colOff>502921</xdr:colOff>
      <xdr:row>68</xdr:row>
      <xdr:rowOff>106680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AC1B5E45-E3D1-423B-BA0F-0995847C1257}"/>
            </a:ext>
          </a:extLst>
        </xdr:cNvPr>
        <xdr:cNvCxnSpPr/>
      </xdr:nvCxnSpPr>
      <xdr:spPr>
        <a:xfrm flipH="1">
          <a:off x="7829550" y="13146405"/>
          <a:ext cx="9265921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</xdr:row>
      <xdr:rowOff>0</xdr:rowOff>
    </xdr:from>
    <xdr:to>
      <xdr:col>14</xdr:col>
      <xdr:colOff>937260</xdr:colOff>
      <xdr:row>6</xdr:row>
      <xdr:rowOff>68580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B751136-18E4-4E92-AC12-2AE2B01F4963}"/>
            </a:ext>
          </a:extLst>
        </xdr:cNvPr>
        <xdr:cNvSpPr txBox="1"/>
      </xdr:nvSpPr>
      <xdr:spPr>
        <a:xfrm>
          <a:off x="7610475" y="190500"/>
          <a:ext cx="5833110" cy="102108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 eaLnBrk="1" latinLnBrk="0" hangingPunct="1"/>
          <a:r>
            <a:rPr lang="en-US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Rectangular wing - Chocolate bar wing (Hershey bar)</a:t>
          </a:r>
        </a:p>
        <a:p>
          <a:pPr rtl="0" eaLnBrk="1" latinLnBrk="0" hangingPunct="1"/>
          <a:r>
            <a:rPr lang="en-US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implementation does not takes into account neither</a:t>
          </a:r>
          <a:r>
            <a:rPr lang="en-US" sz="14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aerodynamic twist nor geometrical twist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457199</xdr:colOff>
      <xdr:row>27</xdr:row>
      <xdr:rowOff>123826</xdr:rowOff>
    </xdr:from>
    <xdr:to>
      <xdr:col>15</xdr:col>
      <xdr:colOff>323849</xdr:colOff>
      <xdr:row>45</xdr:row>
      <xdr:rowOff>169836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5650933D-439B-4D50-86B2-EBA4462F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4" y="5267326"/>
          <a:ext cx="5838825" cy="347501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37</xdr:row>
      <xdr:rowOff>114300</xdr:rowOff>
    </xdr:from>
    <xdr:to>
      <xdr:col>1</xdr:col>
      <xdr:colOff>1000519</xdr:colOff>
      <xdr:row>41</xdr:row>
      <xdr:rowOff>44866</xdr:rowOff>
    </xdr:to>
    <xdr:pic>
      <xdr:nvPicPr>
        <xdr:cNvPr id="58" name="Picture 57" descr="A close up of a logo&#10;&#10;Description automatically generated">
          <a:extLst>
            <a:ext uri="{FF2B5EF4-FFF2-40B4-BE49-F238E27FC236}">
              <a16:creationId xmlns:a16="http://schemas.microsoft.com/office/drawing/2014/main" id="{154E8F7C-D4FA-4EFD-935F-8DC725AC7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2800"/>
          <a:ext cx="1029094" cy="692566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37</xdr:row>
      <xdr:rowOff>57150</xdr:rowOff>
    </xdr:from>
    <xdr:to>
      <xdr:col>5</xdr:col>
      <xdr:colOff>476250</xdr:colOff>
      <xdr:row>42</xdr:row>
      <xdr:rowOff>41910</xdr:rowOff>
    </xdr:to>
    <xdr:pic>
      <xdr:nvPicPr>
        <xdr:cNvPr id="59" name="Graphic 11">
          <a:extLst>
            <a:ext uri="{FF2B5EF4-FFF2-40B4-BE49-F238E27FC236}">
              <a16:creationId xmlns:a16="http://schemas.microsoft.com/office/drawing/2014/main" id="{1EA92891-E6F9-4F8D-A008-11E4C748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2343150" y="7105650"/>
          <a:ext cx="2400300" cy="937260"/>
        </a:xfrm>
        <a:prstGeom prst="rect">
          <a:avLst/>
        </a:prstGeom>
      </xdr:spPr>
    </xdr:pic>
    <xdr:clientData/>
  </xdr:twoCellAnchor>
  <xdr:twoCellAnchor editAs="oneCell">
    <xdr:from>
      <xdr:col>16</xdr:col>
      <xdr:colOff>495300</xdr:colOff>
      <xdr:row>0</xdr:row>
      <xdr:rowOff>85725</xdr:rowOff>
    </xdr:from>
    <xdr:to>
      <xdr:col>23</xdr:col>
      <xdr:colOff>190500</xdr:colOff>
      <xdr:row>13</xdr:row>
      <xdr:rowOff>140438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174CE53-C629-46C6-8648-8D3F6059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6600" y="85725"/>
          <a:ext cx="3962400" cy="25312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70483</xdr:colOff>
      <xdr:row>56</xdr:row>
      <xdr:rowOff>115612</xdr:rowOff>
    </xdr:from>
    <xdr:to>
      <xdr:col>20</xdr:col>
      <xdr:colOff>384808</xdr:colOff>
      <xdr:row>60</xdr:row>
      <xdr:rowOff>189907</xdr:rowOff>
    </xdr:to>
    <xdr:pic>
      <xdr:nvPicPr>
        <xdr:cNvPr id="2" name="Graphic 51">
          <a:extLst>
            <a:ext uri="{FF2B5EF4-FFF2-40B4-BE49-F238E27FC236}">
              <a16:creationId xmlns:a16="http://schemas.microsoft.com/office/drawing/2014/main" id="{7E1D00EC-820C-4C69-9E6B-30EBA5805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653133" y="10783612"/>
          <a:ext cx="3362325" cy="836295"/>
        </a:xfrm>
        <a:prstGeom prst="rect">
          <a:avLst/>
        </a:prstGeom>
      </xdr:spPr>
    </xdr:pic>
    <xdr:clientData/>
  </xdr:twoCellAnchor>
  <xdr:twoCellAnchor editAs="oneCell">
    <xdr:from>
      <xdr:col>4</xdr:col>
      <xdr:colOff>558800</xdr:colOff>
      <xdr:row>46</xdr:row>
      <xdr:rowOff>56116</xdr:rowOff>
    </xdr:from>
    <xdr:to>
      <xdr:col>8</xdr:col>
      <xdr:colOff>21590</xdr:colOff>
      <xdr:row>50</xdr:row>
      <xdr:rowOff>143746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D5169B6-A0A7-4771-886A-7A73BC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44950" y="8819116"/>
          <a:ext cx="2606040" cy="849630"/>
        </a:xfrm>
        <a:prstGeom prst="rect">
          <a:avLst/>
        </a:prstGeom>
      </xdr:spPr>
    </xdr:pic>
    <xdr:clientData/>
  </xdr:twoCellAnchor>
  <xdr:twoCellAnchor editAs="oneCell">
    <xdr:from>
      <xdr:col>14</xdr:col>
      <xdr:colOff>636270</xdr:colOff>
      <xdr:row>49</xdr:row>
      <xdr:rowOff>118360</xdr:rowOff>
    </xdr:from>
    <xdr:to>
      <xdr:col>16</xdr:col>
      <xdr:colOff>369570</xdr:colOff>
      <xdr:row>52</xdr:row>
      <xdr:rowOff>19300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E6766F27-2D13-4040-926B-18D702B2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3142595" y="9452860"/>
          <a:ext cx="1419225" cy="472440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243840</xdr:colOff>
      <xdr:row>74</xdr:row>
      <xdr:rowOff>169241</xdr:rowOff>
    </xdr:from>
    <xdr:to>
      <xdr:col>13</xdr:col>
      <xdr:colOff>453390</xdr:colOff>
      <xdr:row>80</xdr:row>
      <xdr:rowOff>13031</xdr:rowOff>
    </xdr:to>
    <xdr:pic>
      <xdr:nvPicPr>
        <xdr:cNvPr id="5" name="Graphic 51">
          <a:extLst>
            <a:ext uri="{FF2B5EF4-FFF2-40B4-BE49-F238E27FC236}">
              <a16:creationId xmlns:a16="http://schemas.microsoft.com/office/drawing/2014/main" id="{CED22940-3BDD-40B7-A781-17B76B19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873240" y="14351966"/>
          <a:ext cx="5019675" cy="104394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82</xdr:row>
      <xdr:rowOff>167640</xdr:rowOff>
    </xdr:from>
    <xdr:to>
      <xdr:col>12</xdr:col>
      <xdr:colOff>849630</xdr:colOff>
      <xdr:row>85</xdr:row>
      <xdr:rowOff>148936</xdr:rowOff>
    </xdr:to>
    <xdr:pic>
      <xdr:nvPicPr>
        <xdr:cNvPr id="6" name="Graphic 11">
          <a:extLst>
            <a:ext uri="{FF2B5EF4-FFF2-40B4-BE49-F238E27FC236}">
              <a16:creationId xmlns:a16="http://schemas.microsoft.com/office/drawing/2014/main" id="{DCCF5BF2-5C9E-4FDA-8436-C830E89E4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429875" y="15931515"/>
          <a:ext cx="944880" cy="552796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82</xdr:row>
      <xdr:rowOff>168079</xdr:rowOff>
    </xdr:from>
    <xdr:to>
      <xdr:col>10</xdr:col>
      <xdr:colOff>807720</xdr:colOff>
      <xdr:row>86</xdr:row>
      <xdr:rowOff>34288</xdr:rowOff>
    </xdr:to>
    <xdr:pic>
      <xdr:nvPicPr>
        <xdr:cNvPr id="7" name="Graphic 13">
          <a:extLst>
            <a:ext uri="{FF2B5EF4-FFF2-40B4-BE49-F238E27FC236}">
              <a16:creationId xmlns:a16="http://schemas.microsoft.com/office/drawing/2014/main" id="{22E6C326-780F-49AD-9DD4-688B2B055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353300" y="15931954"/>
          <a:ext cx="2045970" cy="628209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86</xdr:row>
      <xdr:rowOff>114445</xdr:rowOff>
    </xdr:from>
    <xdr:to>
      <xdr:col>4</xdr:col>
      <xdr:colOff>3810</xdr:colOff>
      <xdr:row>91</xdr:row>
      <xdr:rowOff>76345</xdr:rowOff>
    </xdr:to>
    <xdr:pic>
      <xdr:nvPicPr>
        <xdr:cNvPr id="8" name="Graphic 26">
          <a:extLst>
            <a:ext uri="{FF2B5EF4-FFF2-40B4-BE49-F238E27FC236}">
              <a16:creationId xmlns:a16="http://schemas.microsoft.com/office/drawing/2014/main" id="{724D5281-4315-4C31-8F36-957F7AEE5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581150" y="16640320"/>
          <a:ext cx="190881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175260</xdr:colOff>
      <xdr:row>103</xdr:row>
      <xdr:rowOff>68580</xdr:rowOff>
    </xdr:from>
    <xdr:to>
      <xdr:col>8</xdr:col>
      <xdr:colOff>228600</xdr:colOff>
      <xdr:row>108</xdr:row>
      <xdr:rowOff>106680</xdr:rowOff>
    </xdr:to>
    <xdr:pic>
      <xdr:nvPicPr>
        <xdr:cNvPr id="9" name="Graphic 40">
          <a:extLst>
            <a:ext uri="{FF2B5EF4-FFF2-40B4-BE49-F238E27FC236}">
              <a16:creationId xmlns:a16="http://schemas.microsoft.com/office/drawing/2014/main" id="{DF80F69D-2319-4FC7-B935-0EC4B976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442460" y="19937730"/>
          <a:ext cx="241554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693420</xdr:colOff>
      <xdr:row>113</xdr:row>
      <xdr:rowOff>30480</xdr:rowOff>
    </xdr:from>
    <xdr:to>
      <xdr:col>7</xdr:col>
      <xdr:colOff>102870</xdr:colOff>
      <xdr:row>115</xdr:row>
      <xdr:rowOff>179070</xdr:rowOff>
    </xdr:to>
    <xdr:pic>
      <xdr:nvPicPr>
        <xdr:cNvPr id="10" name="Graphic 2">
          <a:extLst>
            <a:ext uri="{FF2B5EF4-FFF2-40B4-BE49-F238E27FC236}">
              <a16:creationId xmlns:a16="http://schemas.microsoft.com/office/drawing/2014/main" id="{E653E15A-44E4-433E-ACA8-E6590EB1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179570" y="21804630"/>
          <a:ext cx="1714500" cy="529590"/>
        </a:xfrm>
        <a:prstGeom prst="rect">
          <a:avLst/>
        </a:prstGeom>
      </xdr:spPr>
    </xdr:pic>
    <xdr:clientData/>
  </xdr:twoCellAnchor>
  <xdr:twoCellAnchor editAs="oneCell">
    <xdr:from>
      <xdr:col>9</xdr:col>
      <xdr:colOff>160018</xdr:colOff>
      <xdr:row>116</xdr:row>
      <xdr:rowOff>22859</xdr:rowOff>
    </xdr:from>
    <xdr:to>
      <xdr:col>12</xdr:col>
      <xdr:colOff>567688</xdr:colOff>
      <xdr:row>121</xdr:row>
      <xdr:rowOff>22859</xdr:rowOff>
    </xdr:to>
    <xdr:pic>
      <xdr:nvPicPr>
        <xdr:cNvPr id="11" name="Graphic 11">
          <a:extLst>
            <a:ext uri="{FF2B5EF4-FFF2-40B4-BE49-F238E27FC236}">
              <a16:creationId xmlns:a16="http://schemas.microsoft.com/office/drawing/2014/main" id="{17B508EF-271B-4B07-A23C-29534ABE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7770493" y="22368509"/>
          <a:ext cx="332232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411479</xdr:colOff>
      <xdr:row>119</xdr:row>
      <xdr:rowOff>160020</xdr:rowOff>
    </xdr:from>
    <xdr:to>
      <xdr:col>8</xdr:col>
      <xdr:colOff>864869</xdr:colOff>
      <xdr:row>124</xdr:row>
      <xdr:rowOff>64770</xdr:rowOff>
    </xdr:to>
    <xdr:pic>
      <xdr:nvPicPr>
        <xdr:cNvPr id="12" name="Graphic 17">
          <a:extLst>
            <a:ext uri="{FF2B5EF4-FFF2-40B4-BE49-F238E27FC236}">
              <a16:creationId xmlns:a16="http://schemas.microsoft.com/office/drawing/2014/main" id="{F84765C6-A50E-46C7-9774-19B62CAD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6202679" y="23077170"/>
          <a:ext cx="1291590" cy="857250"/>
        </a:xfrm>
        <a:prstGeom prst="rect">
          <a:avLst/>
        </a:prstGeom>
      </xdr:spPr>
    </xdr:pic>
    <xdr:clientData/>
  </xdr:twoCellAnchor>
  <xdr:twoCellAnchor editAs="oneCell">
    <xdr:from>
      <xdr:col>8</xdr:col>
      <xdr:colOff>388619</xdr:colOff>
      <xdr:row>124</xdr:row>
      <xdr:rowOff>175260</xdr:rowOff>
    </xdr:from>
    <xdr:to>
      <xdr:col>11</xdr:col>
      <xdr:colOff>102869</xdr:colOff>
      <xdr:row>129</xdr:row>
      <xdr:rowOff>99060</xdr:rowOff>
    </xdr:to>
    <xdr:pic>
      <xdr:nvPicPr>
        <xdr:cNvPr id="13" name="Graphic 3">
          <a:extLst>
            <a:ext uri="{FF2B5EF4-FFF2-40B4-BE49-F238E27FC236}">
              <a16:creationId xmlns:a16="http://schemas.microsoft.com/office/drawing/2014/main" id="{53B5C6D8-85E8-41F0-879C-CA5DC3057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7018019" y="24044910"/>
          <a:ext cx="2676525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75565</xdr:colOff>
      <xdr:row>51</xdr:row>
      <xdr:rowOff>156571</xdr:rowOff>
    </xdr:from>
    <xdr:to>
      <xdr:col>7</xdr:col>
      <xdr:colOff>113665</xdr:colOff>
      <xdr:row>56</xdr:row>
      <xdr:rowOff>61321</xdr:rowOff>
    </xdr:to>
    <xdr:pic>
      <xdr:nvPicPr>
        <xdr:cNvPr id="14" name="Graphic 4">
          <a:extLst>
            <a:ext uri="{FF2B5EF4-FFF2-40B4-BE49-F238E27FC236}">
              <a16:creationId xmlns:a16="http://schemas.microsoft.com/office/drawing/2014/main" id="{C7967601-A734-430F-99F0-D3A141A0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342765" y="9872071"/>
          <a:ext cx="156210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624839</xdr:colOff>
      <xdr:row>125</xdr:row>
      <xdr:rowOff>0</xdr:rowOff>
    </xdr:from>
    <xdr:to>
      <xdr:col>7</xdr:col>
      <xdr:colOff>834389</xdr:colOff>
      <xdr:row>129</xdr:row>
      <xdr:rowOff>106680</xdr:rowOff>
    </xdr:to>
    <xdr:pic>
      <xdr:nvPicPr>
        <xdr:cNvPr id="15" name="Graphic 6">
          <a:extLst>
            <a:ext uri="{FF2B5EF4-FFF2-40B4-BE49-F238E27FC236}">
              <a16:creationId xmlns:a16="http://schemas.microsoft.com/office/drawing/2014/main" id="{26BEA49B-F65F-4260-8F9C-5C08B76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110989" y="24060150"/>
          <a:ext cx="2514600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157</xdr:row>
      <xdr:rowOff>91440</xdr:rowOff>
    </xdr:from>
    <xdr:to>
      <xdr:col>3</xdr:col>
      <xdr:colOff>854615</xdr:colOff>
      <xdr:row>162</xdr:row>
      <xdr:rowOff>135255</xdr:rowOff>
    </xdr:to>
    <xdr:pic>
      <xdr:nvPicPr>
        <xdr:cNvPr id="16" name="Graphic 4">
          <a:extLst>
            <a:ext uri="{FF2B5EF4-FFF2-40B4-BE49-F238E27FC236}">
              <a16:creationId xmlns:a16="http://schemas.microsoft.com/office/drawing/2014/main" id="{2B8533EF-4F7B-4019-8071-40E488B9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556260" y="30247590"/>
          <a:ext cx="2946305" cy="996315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165</xdr:row>
      <xdr:rowOff>137160</xdr:rowOff>
    </xdr:from>
    <xdr:to>
      <xdr:col>2</xdr:col>
      <xdr:colOff>374757</xdr:colOff>
      <xdr:row>169</xdr:row>
      <xdr:rowOff>66721</xdr:rowOff>
    </xdr:to>
    <xdr:pic>
      <xdr:nvPicPr>
        <xdr:cNvPr id="17" name="Graphic 6">
          <a:extLst>
            <a:ext uri="{FF2B5EF4-FFF2-40B4-BE49-F238E27FC236}">
              <a16:creationId xmlns:a16="http://schemas.microsoft.com/office/drawing/2014/main" id="{B68A55B4-72BF-4EFA-A72C-C9BC9DE0F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556260" y="31817310"/>
          <a:ext cx="1523472" cy="691561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</xdr:colOff>
      <xdr:row>131</xdr:row>
      <xdr:rowOff>160020</xdr:rowOff>
    </xdr:from>
    <xdr:to>
      <xdr:col>8</xdr:col>
      <xdr:colOff>132734</xdr:colOff>
      <xdr:row>135</xdr:row>
      <xdr:rowOff>77780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341B82-2862-4AE9-860C-43726040A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830" y="25363170"/>
          <a:ext cx="1645304" cy="67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600075</xdr:colOff>
      <xdr:row>14</xdr:row>
      <xdr:rowOff>179070</xdr:rowOff>
    </xdr:from>
    <xdr:to>
      <xdr:col>35</xdr:col>
      <xdr:colOff>569595</xdr:colOff>
      <xdr:row>51</xdr:row>
      <xdr:rowOff>180386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19B8AAD-9DAB-4B37-8376-9F457EC7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192625" y="2846070"/>
          <a:ext cx="9113520" cy="7049816"/>
        </a:xfrm>
        <a:prstGeom prst="rect">
          <a:avLst/>
        </a:prstGeom>
      </xdr:spPr>
    </xdr:pic>
    <xdr:clientData/>
  </xdr:twoCellAnchor>
  <xdr:twoCellAnchor>
    <xdr:from>
      <xdr:col>3</xdr:col>
      <xdr:colOff>111760</xdr:colOff>
      <xdr:row>48</xdr:row>
      <xdr:rowOff>96520</xdr:rowOff>
    </xdr:from>
    <xdr:to>
      <xdr:col>4</xdr:col>
      <xdr:colOff>543560</xdr:colOff>
      <xdr:row>48</xdr:row>
      <xdr:rowOff>96520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3157693D-D410-47B4-8AFD-8182B6AE27EB}"/>
            </a:ext>
          </a:extLst>
        </xdr:cNvPr>
        <xdr:cNvCxnSpPr/>
      </xdr:nvCxnSpPr>
      <xdr:spPr>
        <a:xfrm flipH="1">
          <a:off x="2740660" y="924052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508635</xdr:colOff>
      <xdr:row>54</xdr:row>
      <xdr:rowOff>57171</xdr:rowOff>
    </xdr:from>
    <xdr:to>
      <xdr:col>8</xdr:col>
      <xdr:colOff>771524</xdr:colOff>
      <xdr:row>57</xdr:row>
      <xdr:rowOff>83820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306D7C54-C21A-42CE-A26B-37DC46439E08}"/>
            </a:ext>
          </a:extLst>
        </xdr:cNvPr>
        <xdr:cNvCxnSpPr/>
      </xdr:nvCxnSpPr>
      <xdr:spPr>
        <a:xfrm flipH="1">
          <a:off x="6299835" y="10344171"/>
          <a:ext cx="1101089" cy="59814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729614</xdr:colOff>
      <xdr:row>52</xdr:row>
      <xdr:rowOff>59076</xdr:rowOff>
    </xdr:from>
    <xdr:to>
      <xdr:col>11</xdr:col>
      <xdr:colOff>786764</xdr:colOff>
      <xdr:row>55</xdr:row>
      <xdr:rowOff>36216</xdr:rowOff>
    </xdr:to>
    <xdr:pic>
      <xdr:nvPicPr>
        <xdr:cNvPr id="22" name="Graphic 13">
          <a:extLst>
            <a:ext uri="{FF2B5EF4-FFF2-40B4-BE49-F238E27FC236}">
              <a16:creationId xmlns:a16="http://schemas.microsoft.com/office/drawing/2014/main" id="{55876E80-029D-40E5-A589-D68421B39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7359014" y="9965076"/>
          <a:ext cx="3019425" cy="54864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</xdr:row>
      <xdr:rowOff>142240</xdr:rowOff>
    </xdr:from>
    <xdr:to>
      <xdr:col>14</xdr:col>
      <xdr:colOff>1036320</xdr:colOff>
      <xdr:row>58</xdr:row>
      <xdr:rowOff>142240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38BE9108-A63B-468D-B721-69D5851CBF04}"/>
            </a:ext>
          </a:extLst>
        </xdr:cNvPr>
        <xdr:cNvCxnSpPr/>
      </xdr:nvCxnSpPr>
      <xdr:spPr>
        <a:xfrm flipH="1">
          <a:off x="12569825" y="11191240"/>
          <a:ext cx="9728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231140</xdr:colOff>
      <xdr:row>52</xdr:row>
      <xdr:rowOff>121920</xdr:rowOff>
    </xdr:from>
    <xdr:to>
      <xdr:col>15</xdr:col>
      <xdr:colOff>231140</xdr:colOff>
      <xdr:row>57</xdr:row>
      <xdr:rowOff>111760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2A7C7DB5-35F3-473E-A7D1-961AD27C894D}"/>
            </a:ext>
          </a:extLst>
        </xdr:cNvPr>
        <xdr:cNvCxnSpPr/>
      </xdr:nvCxnSpPr>
      <xdr:spPr>
        <a:xfrm>
          <a:off x="13813790" y="10027920"/>
          <a:ext cx="0" cy="9423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74</xdr:row>
      <xdr:rowOff>152400</xdr:rowOff>
    </xdr:from>
    <xdr:to>
      <xdr:col>6</xdr:col>
      <xdr:colOff>365760</xdr:colOff>
      <xdr:row>80</xdr:row>
      <xdr:rowOff>38100</xdr:rowOff>
    </xdr:to>
    <xdr:sp macro="" textlink="">
      <xdr:nvSpPr>
        <xdr:cNvPr id="25" name="Right Brace 24">
          <a:extLst>
            <a:ext uri="{FF2B5EF4-FFF2-40B4-BE49-F238E27FC236}">
              <a16:creationId xmlns:a16="http://schemas.microsoft.com/office/drawing/2014/main" id="{86390602-3524-4B2C-90D8-F330389DE92E}"/>
            </a:ext>
          </a:extLst>
        </xdr:cNvPr>
        <xdr:cNvSpPr/>
      </xdr:nvSpPr>
      <xdr:spPr>
        <a:xfrm>
          <a:off x="5185410" y="14335125"/>
          <a:ext cx="190500" cy="108585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528320</xdr:colOff>
      <xdr:row>77</xdr:row>
      <xdr:rowOff>58420</xdr:rowOff>
    </xdr:from>
    <xdr:to>
      <xdr:col>8</xdr:col>
      <xdr:colOff>182880</xdr:colOff>
      <xdr:row>77</xdr:row>
      <xdr:rowOff>58420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90A6DB94-8B6B-4A9C-9F29-7DF333438011}"/>
            </a:ext>
          </a:extLst>
        </xdr:cNvPr>
        <xdr:cNvCxnSpPr/>
      </xdr:nvCxnSpPr>
      <xdr:spPr>
        <a:xfrm flipH="1">
          <a:off x="5538470" y="14869795"/>
          <a:ext cx="127381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360680</xdr:colOff>
      <xdr:row>79</xdr:row>
      <xdr:rowOff>5080</xdr:rowOff>
    </xdr:from>
    <xdr:to>
      <xdr:col>12</xdr:col>
      <xdr:colOff>360680</xdr:colOff>
      <xdr:row>83</xdr:row>
      <xdr:rowOff>7620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517FE324-1283-4BA6-9B61-06866B30367D}"/>
            </a:ext>
          </a:extLst>
        </xdr:cNvPr>
        <xdr:cNvCxnSpPr/>
      </xdr:nvCxnSpPr>
      <xdr:spPr>
        <a:xfrm flipV="1">
          <a:off x="10885805" y="15197455"/>
          <a:ext cx="0" cy="7645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1000760</xdr:colOff>
      <xdr:row>79</xdr:row>
      <xdr:rowOff>12700</xdr:rowOff>
    </xdr:from>
    <xdr:to>
      <xdr:col>8</xdr:col>
      <xdr:colOff>1000760</xdr:colOff>
      <xdr:row>83</xdr:row>
      <xdr:rowOff>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82B32B0-5C6D-4617-971B-DC32C7135CE8}"/>
            </a:ext>
          </a:extLst>
        </xdr:cNvPr>
        <xdr:cNvCxnSpPr/>
      </xdr:nvCxnSpPr>
      <xdr:spPr>
        <a:xfrm flipV="1">
          <a:off x="7611110" y="15205075"/>
          <a:ext cx="0" cy="74930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574040</xdr:colOff>
      <xdr:row>106</xdr:row>
      <xdr:rowOff>111760</xdr:rowOff>
    </xdr:from>
    <xdr:to>
      <xdr:col>5</xdr:col>
      <xdr:colOff>205740</xdr:colOff>
      <xdr:row>106</xdr:row>
      <xdr:rowOff>111760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E6A9D5A0-B639-433B-96DB-3783733EE12A}"/>
            </a:ext>
          </a:extLst>
        </xdr:cNvPr>
        <xdr:cNvCxnSpPr/>
      </xdr:nvCxnSpPr>
      <xdr:spPr>
        <a:xfrm flipH="1">
          <a:off x="3202940" y="20552410"/>
          <a:ext cx="127000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220980</xdr:colOff>
      <xdr:row>103</xdr:row>
      <xdr:rowOff>129540</xdr:rowOff>
    </xdr:from>
    <xdr:to>
      <xdr:col>3</xdr:col>
      <xdr:colOff>411480</xdr:colOff>
      <xdr:row>109</xdr:row>
      <xdr:rowOff>83820</xdr:rowOff>
    </xdr:to>
    <xdr:sp macro="" textlink="">
      <xdr:nvSpPr>
        <xdr:cNvPr id="30" name="Right Brace 29">
          <a:extLst>
            <a:ext uri="{FF2B5EF4-FFF2-40B4-BE49-F238E27FC236}">
              <a16:creationId xmlns:a16="http://schemas.microsoft.com/office/drawing/2014/main" id="{B49CA6BB-679B-425C-94AD-45BE797E4357}"/>
            </a:ext>
          </a:extLst>
        </xdr:cNvPr>
        <xdr:cNvSpPr/>
      </xdr:nvSpPr>
      <xdr:spPr>
        <a:xfrm>
          <a:off x="2849880" y="19998690"/>
          <a:ext cx="190500" cy="109728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563880</xdr:colOff>
      <xdr:row>99</xdr:row>
      <xdr:rowOff>76200</xdr:rowOff>
    </xdr:from>
    <xdr:to>
      <xdr:col>7</xdr:col>
      <xdr:colOff>15240</xdr:colOff>
      <xdr:row>105</xdr:row>
      <xdr:rowOff>5080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821271-9450-45CD-B81C-1C43BFDC92E0}"/>
            </a:ext>
          </a:extLst>
        </xdr:cNvPr>
        <xdr:cNvCxnSpPr/>
      </xdr:nvCxnSpPr>
      <xdr:spPr>
        <a:xfrm flipH="1" flipV="1">
          <a:off x="4831080" y="19183350"/>
          <a:ext cx="975360" cy="10718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96</xdr:row>
      <xdr:rowOff>152400</xdr:rowOff>
    </xdr:from>
    <xdr:to>
      <xdr:col>5</xdr:col>
      <xdr:colOff>342900</xdr:colOff>
      <xdr:row>102</xdr:row>
      <xdr:rowOff>45720</xdr:rowOff>
    </xdr:to>
    <xdr:sp macro="" textlink="">
      <xdr:nvSpPr>
        <xdr:cNvPr id="32" name="Right Brace 31">
          <a:extLst>
            <a:ext uri="{FF2B5EF4-FFF2-40B4-BE49-F238E27FC236}">
              <a16:creationId xmlns:a16="http://schemas.microsoft.com/office/drawing/2014/main" id="{E1B41A69-0039-40F6-9063-7D0321B81F8E}"/>
            </a:ext>
          </a:extLst>
        </xdr:cNvPr>
        <xdr:cNvSpPr/>
      </xdr:nvSpPr>
      <xdr:spPr>
        <a:xfrm>
          <a:off x="4419600" y="18640425"/>
          <a:ext cx="190500" cy="1083945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674370</xdr:colOff>
      <xdr:row>96</xdr:row>
      <xdr:rowOff>57150</xdr:rowOff>
    </xdr:from>
    <xdr:to>
      <xdr:col>8</xdr:col>
      <xdr:colOff>64770</xdr:colOff>
      <xdr:row>97</xdr:row>
      <xdr:rowOff>64770</xdr:rowOff>
    </xdr:to>
    <xdr:sp macro="" textlink="">
      <xdr:nvSpPr>
        <xdr:cNvPr id="33" name="Right Brace 32">
          <a:extLst>
            <a:ext uri="{FF2B5EF4-FFF2-40B4-BE49-F238E27FC236}">
              <a16:creationId xmlns:a16="http://schemas.microsoft.com/office/drawing/2014/main" id="{457B0E56-4BB4-4127-828C-512DA74A17A6}"/>
            </a:ext>
          </a:extLst>
        </xdr:cNvPr>
        <xdr:cNvSpPr/>
      </xdr:nvSpPr>
      <xdr:spPr>
        <a:xfrm rot="5400000">
          <a:off x="6090285" y="18139410"/>
          <a:ext cx="198120" cy="100965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132080</xdr:colOff>
      <xdr:row>114</xdr:row>
      <xdr:rowOff>104140</xdr:rowOff>
    </xdr:from>
    <xdr:to>
      <xdr:col>4</xdr:col>
      <xdr:colOff>563880</xdr:colOff>
      <xdr:row>114</xdr:row>
      <xdr:rowOff>104140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FE29F9EB-9E85-4B90-A283-1BAF07EE0251}"/>
            </a:ext>
          </a:extLst>
        </xdr:cNvPr>
        <xdr:cNvCxnSpPr/>
      </xdr:nvCxnSpPr>
      <xdr:spPr>
        <a:xfrm flipH="1">
          <a:off x="2760980" y="2206879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665480</xdr:colOff>
      <xdr:row>118</xdr:row>
      <xdr:rowOff>96520</xdr:rowOff>
    </xdr:from>
    <xdr:to>
      <xdr:col>9</xdr:col>
      <xdr:colOff>114300</xdr:colOff>
      <xdr:row>118</xdr:row>
      <xdr:rowOff>96520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775AF6EE-FD2D-46BF-B6EF-612E85F436E8}"/>
            </a:ext>
          </a:extLst>
        </xdr:cNvPr>
        <xdr:cNvCxnSpPr/>
      </xdr:nvCxnSpPr>
      <xdr:spPr>
        <a:xfrm flipH="1">
          <a:off x="4932680" y="22823170"/>
          <a:ext cx="2792095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726440</xdr:colOff>
      <xdr:row>119</xdr:row>
      <xdr:rowOff>119380</xdr:rowOff>
    </xdr:from>
    <xdr:to>
      <xdr:col>7</xdr:col>
      <xdr:colOff>411479</xdr:colOff>
      <xdr:row>122</xdr:row>
      <xdr:rowOff>20955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68AAC96-F1CC-4491-AC92-5032F33B2AE8}"/>
            </a:ext>
          </a:extLst>
        </xdr:cNvPr>
        <xdr:cNvCxnSpPr>
          <a:stCxn id="12" idx="1"/>
        </xdr:cNvCxnSpPr>
      </xdr:nvCxnSpPr>
      <xdr:spPr>
        <a:xfrm flipH="1" flipV="1">
          <a:off x="4993640" y="23036530"/>
          <a:ext cx="1209039" cy="473075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154940</xdr:colOff>
      <xdr:row>127</xdr:row>
      <xdr:rowOff>104140</xdr:rowOff>
    </xdr:from>
    <xdr:to>
      <xdr:col>4</xdr:col>
      <xdr:colOff>586740</xdr:colOff>
      <xdr:row>127</xdr:row>
      <xdr:rowOff>104140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CF22500C-4684-4672-AF9A-6A7CDFB2F742}"/>
            </a:ext>
          </a:extLst>
        </xdr:cNvPr>
        <xdr:cNvCxnSpPr/>
      </xdr:nvCxnSpPr>
      <xdr:spPr>
        <a:xfrm flipH="1">
          <a:off x="2783840" y="2454529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861060</xdr:colOff>
      <xdr:row>125</xdr:row>
      <xdr:rowOff>60960</xdr:rowOff>
    </xdr:from>
    <xdr:to>
      <xdr:col>14</xdr:col>
      <xdr:colOff>236426</xdr:colOff>
      <xdr:row>129</xdr:row>
      <xdr:rowOff>30541</xdr:rowOff>
    </xdr:to>
    <xdr:pic>
      <xdr:nvPicPr>
        <xdr:cNvPr id="38" name="Picture 37" descr="A close up of a logo&#10;&#10;Description automatically generated">
          <a:extLst>
            <a:ext uri="{FF2B5EF4-FFF2-40B4-BE49-F238E27FC236}">
              <a16:creationId xmlns:a16="http://schemas.microsoft.com/office/drawing/2014/main" id="{E2FEA8B5-24DA-4587-895A-74A398CF1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2735" y="24121110"/>
          <a:ext cx="2290016" cy="731581"/>
        </a:xfrm>
        <a:prstGeom prst="rect">
          <a:avLst/>
        </a:prstGeom>
      </xdr:spPr>
    </xdr:pic>
    <xdr:clientData/>
  </xdr:twoCellAnchor>
  <xdr:twoCellAnchor>
    <xdr:from>
      <xdr:col>3</xdr:col>
      <xdr:colOff>711200</xdr:colOff>
      <xdr:row>133</xdr:row>
      <xdr:rowOff>96520</xdr:rowOff>
    </xdr:from>
    <xdr:to>
      <xdr:col>5</xdr:col>
      <xdr:colOff>655320</xdr:colOff>
      <xdr:row>133</xdr:row>
      <xdr:rowOff>96520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3C82F851-4341-41C7-9036-EE36C04D74E7}"/>
            </a:ext>
          </a:extLst>
        </xdr:cNvPr>
        <xdr:cNvCxnSpPr/>
      </xdr:nvCxnSpPr>
      <xdr:spPr>
        <a:xfrm flipH="1">
          <a:off x="3340100" y="25680670"/>
          <a:ext cx="15824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159</xdr:row>
      <xdr:rowOff>60960</xdr:rowOff>
    </xdr:from>
    <xdr:to>
      <xdr:col>8</xdr:col>
      <xdr:colOff>518160</xdr:colOff>
      <xdr:row>161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DAE2051-9596-45C8-B6BB-7333AEF3B3C3}"/>
            </a:ext>
          </a:extLst>
        </xdr:cNvPr>
        <xdr:cNvSpPr txBox="1"/>
      </xdr:nvSpPr>
      <xdr:spPr>
        <a:xfrm>
          <a:off x="5185410" y="30598110"/>
          <a:ext cx="1962150" cy="434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Downwash</a:t>
          </a:r>
        </a:p>
      </xdr:txBody>
    </xdr:sp>
    <xdr:clientData/>
  </xdr:twoCellAnchor>
  <xdr:twoCellAnchor>
    <xdr:from>
      <xdr:col>6</xdr:col>
      <xdr:colOff>160020</xdr:colOff>
      <xdr:row>166</xdr:row>
      <xdr:rowOff>76200</xdr:rowOff>
    </xdr:from>
    <xdr:to>
      <xdr:col>8</xdr:col>
      <xdr:colOff>502920</xdr:colOff>
      <xdr:row>168</xdr:row>
      <xdr:rowOff>129540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DBB41C8-586F-4CE6-894E-D5A1BE3744D8}"/>
            </a:ext>
          </a:extLst>
        </xdr:cNvPr>
        <xdr:cNvSpPr txBox="1"/>
      </xdr:nvSpPr>
      <xdr:spPr>
        <a:xfrm>
          <a:off x="5170170" y="31946850"/>
          <a:ext cx="1962150" cy="434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Induced angle</a:t>
          </a:r>
        </a:p>
      </xdr:txBody>
    </xdr:sp>
    <xdr:clientData/>
  </xdr:twoCellAnchor>
  <xdr:twoCellAnchor>
    <xdr:from>
      <xdr:col>4</xdr:col>
      <xdr:colOff>33020</xdr:colOff>
      <xdr:row>160</xdr:row>
      <xdr:rowOff>81280</xdr:rowOff>
    </xdr:from>
    <xdr:to>
      <xdr:col>6</xdr:col>
      <xdr:colOff>99060</xdr:colOff>
      <xdr:row>160</xdr:row>
      <xdr:rowOff>81280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9DA5F3A2-0F5E-4DD3-9628-1F7EF4053250}"/>
            </a:ext>
          </a:extLst>
        </xdr:cNvPr>
        <xdr:cNvCxnSpPr/>
      </xdr:nvCxnSpPr>
      <xdr:spPr>
        <a:xfrm flipH="1">
          <a:off x="3519170" y="30808930"/>
          <a:ext cx="159004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368300</xdr:colOff>
      <xdr:row>167</xdr:row>
      <xdr:rowOff>104140</xdr:rowOff>
    </xdr:from>
    <xdr:to>
      <xdr:col>6</xdr:col>
      <xdr:colOff>83820</xdr:colOff>
      <xdr:row>167</xdr:row>
      <xdr:rowOff>104140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D383152-E312-4E88-ACA5-74513D28525C}"/>
            </a:ext>
          </a:extLst>
        </xdr:cNvPr>
        <xdr:cNvCxnSpPr/>
      </xdr:nvCxnSpPr>
      <xdr:spPr>
        <a:xfrm flipH="1">
          <a:off x="2054225" y="32165290"/>
          <a:ext cx="3039745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30480</xdr:colOff>
      <xdr:row>143</xdr:row>
      <xdr:rowOff>0</xdr:rowOff>
    </xdr:from>
    <xdr:to>
      <xdr:col>10</xdr:col>
      <xdr:colOff>579120</xdr:colOff>
      <xdr:row>147</xdr:row>
      <xdr:rowOff>49530</xdr:rowOff>
    </xdr:to>
    <xdr:pic>
      <xdr:nvPicPr>
        <xdr:cNvPr id="44" name="Graphic 2">
          <a:extLst>
            <a:ext uri="{FF2B5EF4-FFF2-40B4-BE49-F238E27FC236}">
              <a16:creationId xmlns:a16="http://schemas.microsoft.com/office/drawing/2014/main" id="{C3A85E10-33C8-4DA4-8651-6849FDFA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9"/>
            </a:ext>
          </a:extLst>
        </a:blip>
        <a:stretch>
          <a:fillRect/>
        </a:stretch>
      </xdr:blipFill>
      <xdr:spPr>
        <a:xfrm>
          <a:off x="5821680" y="27489150"/>
          <a:ext cx="3348990" cy="811530"/>
        </a:xfrm>
        <a:prstGeom prst="rect">
          <a:avLst/>
        </a:prstGeom>
      </xdr:spPr>
    </xdr:pic>
    <xdr:clientData/>
  </xdr:twoCellAnchor>
  <xdr:twoCellAnchor>
    <xdr:from>
      <xdr:col>3</xdr:col>
      <xdr:colOff>414020</xdr:colOff>
      <xdr:row>144</xdr:row>
      <xdr:rowOff>96520</xdr:rowOff>
    </xdr:from>
    <xdr:to>
      <xdr:col>6</xdr:col>
      <xdr:colOff>784860</xdr:colOff>
      <xdr:row>144</xdr:row>
      <xdr:rowOff>96520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3D876C89-C634-4969-AD6C-04391C5DB25C}"/>
            </a:ext>
          </a:extLst>
        </xdr:cNvPr>
        <xdr:cNvCxnSpPr/>
      </xdr:nvCxnSpPr>
      <xdr:spPr>
        <a:xfrm flipH="1">
          <a:off x="3042920" y="27776170"/>
          <a:ext cx="275209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114301</xdr:colOff>
      <xdr:row>148</xdr:row>
      <xdr:rowOff>76201</xdr:rowOff>
    </xdr:from>
    <xdr:to>
      <xdr:col>10</xdr:col>
      <xdr:colOff>82544</xdr:colOff>
      <xdr:row>152</xdr:row>
      <xdr:rowOff>158568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042539C-F0E1-497E-AE00-29526A12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28517851"/>
          <a:ext cx="2768593" cy="84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398780</xdr:colOff>
      <xdr:row>150</xdr:row>
      <xdr:rowOff>111760</xdr:rowOff>
    </xdr:from>
    <xdr:to>
      <xdr:col>6</xdr:col>
      <xdr:colOff>769620</xdr:colOff>
      <xdr:row>150</xdr:row>
      <xdr:rowOff>111760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C9475A92-1868-478A-B813-27FF57C902ED}"/>
            </a:ext>
          </a:extLst>
        </xdr:cNvPr>
        <xdr:cNvCxnSpPr/>
      </xdr:nvCxnSpPr>
      <xdr:spPr>
        <a:xfrm flipH="1">
          <a:off x="3027680" y="28934410"/>
          <a:ext cx="275209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457201</xdr:colOff>
      <xdr:row>147</xdr:row>
      <xdr:rowOff>160020</xdr:rowOff>
    </xdr:from>
    <xdr:to>
      <xdr:col>5</xdr:col>
      <xdr:colOff>71742</xdr:colOff>
      <xdr:row>149</xdr:row>
      <xdr:rowOff>46656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C90B248-7C59-450E-83EE-58C92C587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1" y="28411170"/>
          <a:ext cx="1252841" cy="26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411480</xdr:colOff>
      <xdr:row>98</xdr:row>
      <xdr:rowOff>38100</xdr:rowOff>
    </xdr:from>
    <xdr:to>
      <xdr:col>7</xdr:col>
      <xdr:colOff>718820</xdr:colOff>
      <xdr:row>104</xdr:row>
      <xdr:rowOff>144780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25F39E09-61A0-46CC-84DE-0D61A70D9EFC}"/>
            </a:ext>
          </a:extLst>
        </xdr:cNvPr>
        <xdr:cNvCxnSpPr/>
      </xdr:nvCxnSpPr>
      <xdr:spPr>
        <a:xfrm flipH="1" flipV="1">
          <a:off x="6202680" y="18954750"/>
          <a:ext cx="307340" cy="12496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739775</xdr:colOff>
      <xdr:row>65</xdr:row>
      <xdr:rowOff>35560</xdr:rowOff>
    </xdr:from>
    <xdr:to>
      <xdr:col>5</xdr:col>
      <xdr:colOff>739775</xdr:colOff>
      <xdr:row>66</xdr:row>
      <xdr:rowOff>129540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CBB71C20-20C8-4486-BAF0-DAF86ADCD000}"/>
            </a:ext>
          </a:extLst>
        </xdr:cNvPr>
        <xdr:cNvCxnSpPr/>
      </xdr:nvCxnSpPr>
      <xdr:spPr>
        <a:xfrm flipV="1">
          <a:off x="5006975" y="12503785"/>
          <a:ext cx="0" cy="2844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737235</xdr:colOff>
      <xdr:row>66</xdr:row>
      <xdr:rowOff>184785</xdr:rowOff>
    </xdr:from>
    <xdr:to>
      <xdr:col>8</xdr:col>
      <xdr:colOff>962025</xdr:colOff>
      <xdr:row>70</xdr:row>
      <xdr:rowOff>108585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8CDFD67-C4AF-4499-960A-6F98653EC6A0}"/>
            </a:ext>
          </a:extLst>
        </xdr:cNvPr>
        <xdr:cNvSpPr txBox="1"/>
      </xdr:nvSpPr>
      <xdr:spPr>
        <a:xfrm>
          <a:off x="2423160" y="12843510"/>
          <a:ext cx="5168265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careful to check if you are using wing-span b or wing semi-span b/2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These values are not used in the actual computation. 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They represent the domain transformation.</a:t>
          </a:r>
        </a:p>
      </xdr:txBody>
    </xdr:sp>
    <xdr:clientData/>
  </xdr:twoCellAnchor>
  <xdr:twoCellAnchor>
    <xdr:from>
      <xdr:col>5</xdr:col>
      <xdr:colOff>5715</xdr:colOff>
      <xdr:row>56</xdr:row>
      <xdr:rowOff>129540</xdr:rowOff>
    </xdr:from>
    <xdr:to>
      <xdr:col>6</xdr:col>
      <xdr:colOff>775335</xdr:colOff>
      <xdr:row>57</xdr:row>
      <xdr:rowOff>160020</xdr:rowOff>
    </xdr:to>
    <xdr:sp macro="" textlink="">
      <xdr:nvSpPr>
        <xdr:cNvPr id="52" name="Right Brace 51">
          <a:extLst>
            <a:ext uri="{FF2B5EF4-FFF2-40B4-BE49-F238E27FC236}">
              <a16:creationId xmlns:a16="http://schemas.microsoft.com/office/drawing/2014/main" id="{894B8556-6E41-49E9-8572-9349BE8BF021}"/>
            </a:ext>
          </a:extLst>
        </xdr:cNvPr>
        <xdr:cNvSpPr/>
      </xdr:nvSpPr>
      <xdr:spPr>
        <a:xfrm rot="16200000">
          <a:off x="4918710" y="10151745"/>
          <a:ext cx="220980" cy="151257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3810</xdr:colOff>
      <xdr:row>63</xdr:row>
      <xdr:rowOff>45720</xdr:rowOff>
    </xdr:from>
    <xdr:to>
      <xdr:col>6</xdr:col>
      <xdr:colOff>763905</xdr:colOff>
      <xdr:row>64</xdr:row>
      <xdr:rowOff>76200</xdr:rowOff>
    </xdr:to>
    <xdr:sp macro="" textlink="">
      <xdr:nvSpPr>
        <xdr:cNvPr id="53" name="Right Brace 52">
          <a:extLst>
            <a:ext uri="{FF2B5EF4-FFF2-40B4-BE49-F238E27FC236}">
              <a16:creationId xmlns:a16="http://schemas.microsoft.com/office/drawing/2014/main" id="{9F40888C-CA1D-48C8-A219-C02240966FF7}"/>
            </a:ext>
          </a:extLst>
        </xdr:cNvPr>
        <xdr:cNvSpPr/>
      </xdr:nvSpPr>
      <xdr:spPr>
        <a:xfrm rot="5400000">
          <a:off x="4912043" y="11491912"/>
          <a:ext cx="220980" cy="1503045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21</xdr:col>
      <xdr:colOff>15240</xdr:colOff>
      <xdr:row>54</xdr:row>
      <xdr:rowOff>83820</xdr:rowOff>
    </xdr:from>
    <xdr:to>
      <xdr:col>32</xdr:col>
      <xdr:colOff>480060</xdr:colOff>
      <xdr:row>83</xdr:row>
      <xdr:rowOff>52546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4381EFD3-BBE9-4658-AA0C-BE01AA07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7390" y="10370820"/>
          <a:ext cx="7170420" cy="5550376"/>
        </a:xfrm>
        <a:prstGeom prst="rect">
          <a:avLst/>
        </a:prstGeom>
      </xdr:spPr>
    </xdr:pic>
    <xdr:clientData/>
  </xdr:twoCellAnchor>
  <xdr:twoCellAnchor>
    <xdr:from>
      <xdr:col>9</xdr:col>
      <xdr:colOff>219075</xdr:colOff>
      <xdr:row>68</xdr:row>
      <xdr:rowOff>106680</xdr:rowOff>
    </xdr:from>
    <xdr:to>
      <xdr:col>20</xdr:col>
      <xdr:colOff>502921</xdr:colOff>
      <xdr:row>68</xdr:row>
      <xdr:rowOff>106680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31F08E1C-5FAF-49B8-8FBB-A4DB6DF8A025}"/>
            </a:ext>
          </a:extLst>
        </xdr:cNvPr>
        <xdr:cNvCxnSpPr/>
      </xdr:nvCxnSpPr>
      <xdr:spPr>
        <a:xfrm flipH="1">
          <a:off x="7829550" y="13146405"/>
          <a:ext cx="9265921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</xdr:row>
      <xdr:rowOff>0</xdr:rowOff>
    </xdr:from>
    <xdr:to>
      <xdr:col>14</xdr:col>
      <xdr:colOff>937260</xdr:colOff>
      <xdr:row>6</xdr:row>
      <xdr:rowOff>68580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72CCF7C7-D051-42F0-A70C-678B682D42F7}"/>
            </a:ext>
          </a:extLst>
        </xdr:cNvPr>
        <xdr:cNvSpPr txBox="1"/>
      </xdr:nvSpPr>
      <xdr:spPr>
        <a:xfrm>
          <a:off x="7610475" y="190500"/>
          <a:ext cx="5833110" cy="102108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 eaLnBrk="1" latinLnBrk="0" hangingPunct="1"/>
          <a:r>
            <a:rPr lang="en-US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sample corresponds to the Piper PA-28 Cherokee  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Adapted from POH - International system units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 eaLnBrk="1" latinLnBrk="0" hangingPunct="1"/>
          <a:r>
            <a:rPr lang="en-US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implementation does not takes into account neither</a:t>
          </a:r>
          <a:r>
            <a:rPr lang="en-US" sz="14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aerodynamic twist nor geometrical twist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457199</xdr:colOff>
      <xdr:row>27</xdr:row>
      <xdr:rowOff>123826</xdr:rowOff>
    </xdr:from>
    <xdr:to>
      <xdr:col>15</xdr:col>
      <xdr:colOff>323849</xdr:colOff>
      <xdr:row>45</xdr:row>
      <xdr:rowOff>169836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1E1D343-EE1B-4CD2-9AAF-928C83A07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4" y="5267326"/>
          <a:ext cx="5838825" cy="347501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37</xdr:row>
      <xdr:rowOff>114300</xdr:rowOff>
    </xdr:from>
    <xdr:to>
      <xdr:col>1</xdr:col>
      <xdr:colOff>981469</xdr:colOff>
      <xdr:row>41</xdr:row>
      <xdr:rowOff>44866</xdr:rowOff>
    </xdr:to>
    <xdr:pic>
      <xdr:nvPicPr>
        <xdr:cNvPr id="58" name="Picture 57" descr="A close up of a logo&#10;&#10;Description automatically generated">
          <a:extLst>
            <a:ext uri="{FF2B5EF4-FFF2-40B4-BE49-F238E27FC236}">
              <a16:creationId xmlns:a16="http://schemas.microsoft.com/office/drawing/2014/main" id="{E207648E-181C-438D-9B9F-027400601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2800"/>
          <a:ext cx="1029094" cy="692566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37</xdr:row>
      <xdr:rowOff>57150</xdr:rowOff>
    </xdr:from>
    <xdr:to>
      <xdr:col>5</xdr:col>
      <xdr:colOff>476250</xdr:colOff>
      <xdr:row>42</xdr:row>
      <xdr:rowOff>41910</xdr:rowOff>
    </xdr:to>
    <xdr:pic>
      <xdr:nvPicPr>
        <xdr:cNvPr id="59" name="Graphic 11">
          <a:extLst>
            <a:ext uri="{FF2B5EF4-FFF2-40B4-BE49-F238E27FC236}">
              <a16:creationId xmlns:a16="http://schemas.microsoft.com/office/drawing/2014/main" id="{30E31480-3B6B-4E1A-A0B9-D67B983E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2343150" y="7105650"/>
          <a:ext cx="2400300" cy="937260"/>
        </a:xfrm>
        <a:prstGeom prst="rect">
          <a:avLst/>
        </a:prstGeom>
      </xdr:spPr>
    </xdr:pic>
    <xdr:clientData/>
  </xdr:twoCellAnchor>
  <xdr:twoCellAnchor>
    <xdr:from>
      <xdr:col>10</xdr:col>
      <xdr:colOff>161925</xdr:colOff>
      <xdr:row>17</xdr:row>
      <xdr:rowOff>104775</xdr:rowOff>
    </xdr:from>
    <xdr:to>
      <xdr:col>11</xdr:col>
      <xdr:colOff>134620</xdr:colOff>
      <xdr:row>17</xdr:row>
      <xdr:rowOff>104775</xdr:rowOff>
    </xdr:to>
    <xdr:cxnSp macro="">
      <xdr:nvCxnSpPr>
        <xdr:cNvPr id="60" name="Straight Arrow Connector 59">
          <a:extLst>
            <a:ext uri="{FF2B5EF4-FFF2-40B4-BE49-F238E27FC236}">
              <a16:creationId xmlns:a16="http://schemas.microsoft.com/office/drawing/2014/main" id="{BA249AFF-5C15-49EC-A6DA-36EAC224D7E9}"/>
            </a:ext>
          </a:extLst>
        </xdr:cNvPr>
        <xdr:cNvCxnSpPr/>
      </xdr:nvCxnSpPr>
      <xdr:spPr>
        <a:xfrm flipH="1">
          <a:off x="8753475" y="3343275"/>
          <a:ext cx="9728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1057274</xdr:colOff>
      <xdr:row>7</xdr:row>
      <xdr:rowOff>92076</xdr:rowOff>
    </xdr:from>
    <xdr:to>
      <xdr:col>19</xdr:col>
      <xdr:colOff>142348</xdr:colOff>
      <xdr:row>23</xdr:row>
      <xdr:rowOff>179918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4467820-0E82-4C25-B5F3-40C5F5262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799" y="1425576"/>
          <a:ext cx="3666599" cy="31358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70483</xdr:colOff>
      <xdr:row>56</xdr:row>
      <xdr:rowOff>115612</xdr:rowOff>
    </xdr:from>
    <xdr:to>
      <xdr:col>20</xdr:col>
      <xdr:colOff>422908</xdr:colOff>
      <xdr:row>60</xdr:row>
      <xdr:rowOff>104182</xdr:rowOff>
    </xdr:to>
    <xdr:pic>
      <xdr:nvPicPr>
        <xdr:cNvPr id="2" name="Graphic 51">
          <a:extLst>
            <a:ext uri="{FF2B5EF4-FFF2-40B4-BE49-F238E27FC236}">
              <a16:creationId xmlns:a16="http://schemas.microsoft.com/office/drawing/2014/main" id="{73867E62-238D-41D7-8C84-6555617A4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672183" y="10783612"/>
          <a:ext cx="3400425" cy="836295"/>
        </a:xfrm>
        <a:prstGeom prst="rect">
          <a:avLst/>
        </a:prstGeom>
      </xdr:spPr>
    </xdr:pic>
    <xdr:clientData/>
  </xdr:twoCellAnchor>
  <xdr:twoCellAnchor editAs="oneCell">
    <xdr:from>
      <xdr:col>4</xdr:col>
      <xdr:colOff>558800</xdr:colOff>
      <xdr:row>46</xdr:row>
      <xdr:rowOff>56116</xdr:rowOff>
    </xdr:from>
    <xdr:to>
      <xdr:col>8</xdr:col>
      <xdr:colOff>21590</xdr:colOff>
      <xdr:row>50</xdr:row>
      <xdr:rowOff>143746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EA683023-7F25-4F69-A85C-86CE3376B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64000" y="8819116"/>
          <a:ext cx="2606040" cy="849630"/>
        </a:xfrm>
        <a:prstGeom prst="rect">
          <a:avLst/>
        </a:prstGeom>
      </xdr:spPr>
    </xdr:pic>
    <xdr:clientData/>
  </xdr:twoCellAnchor>
  <xdr:twoCellAnchor editAs="oneCell">
    <xdr:from>
      <xdr:col>14</xdr:col>
      <xdr:colOff>636270</xdr:colOff>
      <xdr:row>49</xdr:row>
      <xdr:rowOff>118360</xdr:rowOff>
    </xdr:from>
    <xdr:to>
      <xdr:col>16</xdr:col>
      <xdr:colOff>388620</xdr:colOff>
      <xdr:row>52</xdr:row>
      <xdr:rowOff>19300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314A9C92-7994-452C-A793-10EC2A11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3161645" y="9452860"/>
          <a:ext cx="1438275" cy="472440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243840</xdr:colOff>
      <xdr:row>74</xdr:row>
      <xdr:rowOff>169241</xdr:rowOff>
    </xdr:from>
    <xdr:to>
      <xdr:col>13</xdr:col>
      <xdr:colOff>453390</xdr:colOff>
      <xdr:row>80</xdr:row>
      <xdr:rowOff>13031</xdr:rowOff>
    </xdr:to>
    <xdr:pic>
      <xdr:nvPicPr>
        <xdr:cNvPr id="5" name="Graphic 51">
          <a:extLst>
            <a:ext uri="{FF2B5EF4-FFF2-40B4-BE49-F238E27FC236}">
              <a16:creationId xmlns:a16="http://schemas.microsoft.com/office/drawing/2014/main" id="{A3939086-8BCF-4534-A17D-57880366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892290" y="14351966"/>
          <a:ext cx="5019675" cy="104394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82</xdr:row>
      <xdr:rowOff>167640</xdr:rowOff>
    </xdr:from>
    <xdr:to>
      <xdr:col>12</xdr:col>
      <xdr:colOff>849630</xdr:colOff>
      <xdr:row>85</xdr:row>
      <xdr:rowOff>148936</xdr:rowOff>
    </xdr:to>
    <xdr:pic>
      <xdr:nvPicPr>
        <xdr:cNvPr id="6" name="Graphic 11">
          <a:extLst>
            <a:ext uri="{FF2B5EF4-FFF2-40B4-BE49-F238E27FC236}">
              <a16:creationId xmlns:a16="http://schemas.microsoft.com/office/drawing/2014/main" id="{3BBF240D-8C77-4567-98A4-AC28AAB2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448925" y="15931515"/>
          <a:ext cx="944880" cy="552796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82</xdr:row>
      <xdr:rowOff>168079</xdr:rowOff>
    </xdr:from>
    <xdr:to>
      <xdr:col>10</xdr:col>
      <xdr:colOff>807720</xdr:colOff>
      <xdr:row>86</xdr:row>
      <xdr:rowOff>34288</xdr:rowOff>
    </xdr:to>
    <xdr:pic>
      <xdr:nvPicPr>
        <xdr:cNvPr id="7" name="Graphic 13">
          <a:extLst>
            <a:ext uri="{FF2B5EF4-FFF2-40B4-BE49-F238E27FC236}">
              <a16:creationId xmlns:a16="http://schemas.microsoft.com/office/drawing/2014/main" id="{1EC6D2A0-D787-4513-88C3-3198356E7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372350" y="15931954"/>
          <a:ext cx="2045970" cy="628209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86</xdr:row>
      <xdr:rowOff>114445</xdr:rowOff>
    </xdr:from>
    <xdr:to>
      <xdr:col>4</xdr:col>
      <xdr:colOff>3810</xdr:colOff>
      <xdr:row>91</xdr:row>
      <xdr:rowOff>76345</xdr:rowOff>
    </xdr:to>
    <xdr:pic>
      <xdr:nvPicPr>
        <xdr:cNvPr id="8" name="Graphic 26">
          <a:extLst>
            <a:ext uri="{FF2B5EF4-FFF2-40B4-BE49-F238E27FC236}">
              <a16:creationId xmlns:a16="http://schemas.microsoft.com/office/drawing/2014/main" id="{CFA17C55-C2CA-47A2-8590-E7F411D72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600200" y="16640320"/>
          <a:ext cx="190881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175260</xdr:colOff>
      <xdr:row>103</xdr:row>
      <xdr:rowOff>68580</xdr:rowOff>
    </xdr:from>
    <xdr:to>
      <xdr:col>8</xdr:col>
      <xdr:colOff>228600</xdr:colOff>
      <xdr:row>108</xdr:row>
      <xdr:rowOff>106680</xdr:rowOff>
    </xdr:to>
    <xdr:pic>
      <xdr:nvPicPr>
        <xdr:cNvPr id="9" name="Graphic 40">
          <a:extLst>
            <a:ext uri="{FF2B5EF4-FFF2-40B4-BE49-F238E27FC236}">
              <a16:creationId xmlns:a16="http://schemas.microsoft.com/office/drawing/2014/main" id="{1C7BE50D-078B-41EA-B6C8-59E4D5AE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461510" y="19937730"/>
          <a:ext cx="241554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693420</xdr:colOff>
      <xdr:row>113</xdr:row>
      <xdr:rowOff>30480</xdr:rowOff>
    </xdr:from>
    <xdr:to>
      <xdr:col>7</xdr:col>
      <xdr:colOff>102870</xdr:colOff>
      <xdr:row>115</xdr:row>
      <xdr:rowOff>179070</xdr:rowOff>
    </xdr:to>
    <xdr:pic>
      <xdr:nvPicPr>
        <xdr:cNvPr id="10" name="Graphic 2">
          <a:extLst>
            <a:ext uri="{FF2B5EF4-FFF2-40B4-BE49-F238E27FC236}">
              <a16:creationId xmlns:a16="http://schemas.microsoft.com/office/drawing/2014/main" id="{5A78C4BF-C79A-47EB-B510-3BA8899F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198620" y="21804630"/>
          <a:ext cx="1714500" cy="529590"/>
        </a:xfrm>
        <a:prstGeom prst="rect">
          <a:avLst/>
        </a:prstGeom>
      </xdr:spPr>
    </xdr:pic>
    <xdr:clientData/>
  </xdr:twoCellAnchor>
  <xdr:twoCellAnchor editAs="oneCell">
    <xdr:from>
      <xdr:col>9</xdr:col>
      <xdr:colOff>160018</xdr:colOff>
      <xdr:row>116</xdr:row>
      <xdr:rowOff>22859</xdr:rowOff>
    </xdr:from>
    <xdr:to>
      <xdr:col>12</xdr:col>
      <xdr:colOff>567688</xdr:colOff>
      <xdr:row>121</xdr:row>
      <xdr:rowOff>22859</xdr:rowOff>
    </xdr:to>
    <xdr:pic>
      <xdr:nvPicPr>
        <xdr:cNvPr id="11" name="Graphic 11">
          <a:extLst>
            <a:ext uri="{FF2B5EF4-FFF2-40B4-BE49-F238E27FC236}">
              <a16:creationId xmlns:a16="http://schemas.microsoft.com/office/drawing/2014/main" id="{75D58A41-C3BD-4990-97D2-2A2E2F9F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7789543" y="22368509"/>
          <a:ext cx="332232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411479</xdr:colOff>
      <xdr:row>119</xdr:row>
      <xdr:rowOff>160020</xdr:rowOff>
    </xdr:from>
    <xdr:to>
      <xdr:col>8</xdr:col>
      <xdr:colOff>864869</xdr:colOff>
      <xdr:row>124</xdr:row>
      <xdr:rowOff>64770</xdr:rowOff>
    </xdr:to>
    <xdr:pic>
      <xdr:nvPicPr>
        <xdr:cNvPr id="12" name="Graphic 17">
          <a:extLst>
            <a:ext uri="{FF2B5EF4-FFF2-40B4-BE49-F238E27FC236}">
              <a16:creationId xmlns:a16="http://schemas.microsoft.com/office/drawing/2014/main" id="{99A7AED5-3F8D-4003-B3A2-43D0A2AF3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6221729" y="23077170"/>
          <a:ext cx="1291590" cy="857250"/>
        </a:xfrm>
        <a:prstGeom prst="rect">
          <a:avLst/>
        </a:prstGeom>
      </xdr:spPr>
    </xdr:pic>
    <xdr:clientData/>
  </xdr:twoCellAnchor>
  <xdr:twoCellAnchor editAs="oneCell">
    <xdr:from>
      <xdr:col>8</xdr:col>
      <xdr:colOff>388619</xdr:colOff>
      <xdr:row>124</xdr:row>
      <xdr:rowOff>175260</xdr:rowOff>
    </xdr:from>
    <xdr:to>
      <xdr:col>11</xdr:col>
      <xdr:colOff>102869</xdr:colOff>
      <xdr:row>129</xdr:row>
      <xdr:rowOff>99060</xdr:rowOff>
    </xdr:to>
    <xdr:pic>
      <xdr:nvPicPr>
        <xdr:cNvPr id="13" name="Graphic 3">
          <a:extLst>
            <a:ext uri="{FF2B5EF4-FFF2-40B4-BE49-F238E27FC236}">
              <a16:creationId xmlns:a16="http://schemas.microsoft.com/office/drawing/2014/main" id="{8B9F48DB-8FB7-429E-ABD0-2B916FECB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7037069" y="24044910"/>
          <a:ext cx="2676525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75565</xdr:colOff>
      <xdr:row>51</xdr:row>
      <xdr:rowOff>156571</xdr:rowOff>
    </xdr:from>
    <xdr:to>
      <xdr:col>7</xdr:col>
      <xdr:colOff>113665</xdr:colOff>
      <xdr:row>56</xdr:row>
      <xdr:rowOff>61321</xdr:rowOff>
    </xdr:to>
    <xdr:pic>
      <xdr:nvPicPr>
        <xdr:cNvPr id="14" name="Graphic 4">
          <a:extLst>
            <a:ext uri="{FF2B5EF4-FFF2-40B4-BE49-F238E27FC236}">
              <a16:creationId xmlns:a16="http://schemas.microsoft.com/office/drawing/2014/main" id="{21294EDD-B442-4F2F-8E99-C9C017F1D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361815" y="9872071"/>
          <a:ext cx="156210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624839</xdr:colOff>
      <xdr:row>125</xdr:row>
      <xdr:rowOff>0</xdr:rowOff>
    </xdr:from>
    <xdr:to>
      <xdr:col>7</xdr:col>
      <xdr:colOff>834389</xdr:colOff>
      <xdr:row>129</xdr:row>
      <xdr:rowOff>106680</xdr:rowOff>
    </xdr:to>
    <xdr:pic>
      <xdr:nvPicPr>
        <xdr:cNvPr id="15" name="Graphic 6">
          <a:extLst>
            <a:ext uri="{FF2B5EF4-FFF2-40B4-BE49-F238E27FC236}">
              <a16:creationId xmlns:a16="http://schemas.microsoft.com/office/drawing/2014/main" id="{D6E3F195-D99F-44E9-9207-977BEE6F4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130039" y="24060150"/>
          <a:ext cx="2514600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157</xdr:row>
      <xdr:rowOff>91440</xdr:rowOff>
    </xdr:from>
    <xdr:to>
      <xdr:col>4</xdr:col>
      <xdr:colOff>16415</xdr:colOff>
      <xdr:row>162</xdr:row>
      <xdr:rowOff>135255</xdr:rowOff>
    </xdr:to>
    <xdr:pic>
      <xdr:nvPicPr>
        <xdr:cNvPr id="16" name="Graphic 4">
          <a:extLst>
            <a:ext uri="{FF2B5EF4-FFF2-40B4-BE49-F238E27FC236}">
              <a16:creationId xmlns:a16="http://schemas.microsoft.com/office/drawing/2014/main" id="{0B87AE79-70CB-49D2-98DE-9EF700C3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556260" y="30247590"/>
          <a:ext cx="2965355" cy="996315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165</xdr:row>
      <xdr:rowOff>137160</xdr:rowOff>
    </xdr:from>
    <xdr:to>
      <xdr:col>2</xdr:col>
      <xdr:colOff>393807</xdr:colOff>
      <xdr:row>169</xdr:row>
      <xdr:rowOff>66721</xdr:rowOff>
    </xdr:to>
    <xdr:pic>
      <xdr:nvPicPr>
        <xdr:cNvPr id="17" name="Graphic 6">
          <a:extLst>
            <a:ext uri="{FF2B5EF4-FFF2-40B4-BE49-F238E27FC236}">
              <a16:creationId xmlns:a16="http://schemas.microsoft.com/office/drawing/2014/main" id="{A61C6970-CC8C-4281-8BCD-7C1F8C6AE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556260" y="31817310"/>
          <a:ext cx="1542522" cy="691561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</xdr:colOff>
      <xdr:row>131</xdr:row>
      <xdr:rowOff>160020</xdr:rowOff>
    </xdr:from>
    <xdr:to>
      <xdr:col>8</xdr:col>
      <xdr:colOff>132734</xdr:colOff>
      <xdr:row>135</xdr:row>
      <xdr:rowOff>77780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FF56DF7-63FE-4FF2-99A1-89AB27318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25363170"/>
          <a:ext cx="1645304" cy="67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600075</xdr:colOff>
      <xdr:row>14</xdr:row>
      <xdr:rowOff>179070</xdr:rowOff>
    </xdr:from>
    <xdr:to>
      <xdr:col>35</xdr:col>
      <xdr:colOff>569595</xdr:colOff>
      <xdr:row>51</xdr:row>
      <xdr:rowOff>180386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B1EC992-AB5E-4B6B-89B3-1B60DFCF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249775" y="2846070"/>
          <a:ext cx="9113520" cy="7049816"/>
        </a:xfrm>
        <a:prstGeom prst="rect">
          <a:avLst/>
        </a:prstGeom>
      </xdr:spPr>
    </xdr:pic>
    <xdr:clientData/>
  </xdr:twoCellAnchor>
  <xdr:twoCellAnchor>
    <xdr:from>
      <xdr:col>3</xdr:col>
      <xdr:colOff>111760</xdr:colOff>
      <xdr:row>48</xdr:row>
      <xdr:rowOff>96520</xdr:rowOff>
    </xdr:from>
    <xdr:to>
      <xdr:col>4</xdr:col>
      <xdr:colOff>543560</xdr:colOff>
      <xdr:row>48</xdr:row>
      <xdr:rowOff>96520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919CFDFC-2494-4BAA-935A-2E26B92BCE0B}"/>
            </a:ext>
          </a:extLst>
        </xdr:cNvPr>
        <xdr:cNvCxnSpPr/>
      </xdr:nvCxnSpPr>
      <xdr:spPr>
        <a:xfrm flipH="1">
          <a:off x="2759710" y="924052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508635</xdr:colOff>
      <xdr:row>54</xdr:row>
      <xdr:rowOff>57171</xdr:rowOff>
    </xdr:from>
    <xdr:to>
      <xdr:col>8</xdr:col>
      <xdr:colOff>771524</xdr:colOff>
      <xdr:row>57</xdr:row>
      <xdr:rowOff>83820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12D62FC4-E0A9-4AAC-8521-7B6C90D5F0E6}"/>
            </a:ext>
          </a:extLst>
        </xdr:cNvPr>
        <xdr:cNvCxnSpPr/>
      </xdr:nvCxnSpPr>
      <xdr:spPr>
        <a:xfrm flipH="1">
          <a:off x="6318885" y="10344171"/>
          <a:ext cx="1101089" cy="59814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729614</xdr:colOff>
      <xdr:row>52</xdr:row>
      <xdr:rowOff>59076</xdr:rowOff>
    </xdr:from>
    <xdr:to>
      <xdr:col>11</xdr:col>
      <xdr:colOff>786764</xdr:colOff>
      <xdr:row>55</xdr:row>
      <xdr:rowOff>36216</xdr:rowOff>
    </xdr:to>
    <xdr:pic>
      <xdr:nvPicPr>
        <xdr:cNvPr id="22" name="Graphic 13">
          <a:extLst>
            <a:ext uri="{FF2B5EF4-FFF2-40B4-BE49-F238E27FC236}">
              <a16:creationId xmlns:a16="http://schemas.microsoft.com/office/drawing/2014/main" id="{DA6C5D6D-3303-4B9A-B792-4B1860F7B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7378064" y="9965076"/>
          <a:ext cx="3019425" cy="54864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</xdr:row>
      <xdr:rowOff>142240</xdr:rowOff>
    </xdr:from>
    <xdr:to>
      <xdr:col>14</xdr:col>
      <xdr:colOff>1036320</xdr:colOff>
      <xdr:row>58</xdr:row>
      <xdr:rowOff>142240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CF44AC16-2268-49E1-B8E4-34BE8F6CBDED}"/>
            </a:ext>
          </a:extLst>
        </xdr:cNvPr>
        <xdr:cNvCxnSpPr/>
      </xdr:nvCxnSpPr>
      <xdr:spPr>
        <a:xfrm flipH="1">
          <a:off x="12588875" y="11191240"/>
          <a:ext cx="9728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231140</xdr:colOff>
      <xdr:row>52</xdr:row>
      <xdr:rowOff>121920</xdr:rowOff>
    </xdr:from>
    <xdr:to>
      <xdr:col>15</xdr:col>
      <xdr:colOff>231140</xdr:colOff>
      <xdr:row>57</xdr:row>
      <xdr:rowOff>111760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C5073FF7-2E94-4945-A2C4-8BBFBA0B5305}"/>
            </a:ext>
          </a:extLst>
        </xdr:cNvPr>
        <xdr:cNvCxnSpPr/>
      </xdr:nvCxnSpPr>
      <xdr:spPr>
        <a:xfrm>
          <a:off x="13832840" y="10027920"/>
          <a:ext cx="0" cy="9423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74</xdr:row>
      <xdr:rowOff>152400</xdr:rowOff>
    </xdr:from>
    <xdr:to>
      <xdr:col>6</xdr:col>
      <xdr:colOff>365760</xdr:colOff>
      <xdr:row>80</xdr:row>
      <xdr:rowOff>38100</xdr:rowOff>
    </xdr:to>
    <xdr:sp macro="" textlink="">
      <xdr:nvSpPr>
        <xdr:cNvPr id="25" name="Right Brace 24">
          <a:extLst>
            <a:ext uri="{FF2B5EF4-FFF2-40B4-BE49-F238E27FC236}">
              <a16:creationId xmlns:a16="http://schemas.microsoft.com/office/drawing/2014/main" id="{598384FC-00D7-42DE-AA15-F1CF4D96E0AB}"/>
            </a:ext>
          </a:extLst>
        </xdr:cNvPr>
        <xdr:cNvSpPr/>
      </xdr:nvSpPr>
      <xdr:spPr>
        <a:xfrm>
          <a:off x="5204460" y="14335125"/>
          <a:ext cx="190500" cy="108585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528320</xdr:colOff>
      <xdr:row>77</xdr:row>
      <xdr:rowOff>58420</xdr:rowOff>
    </xdr:from>
    <xdr:to>
      <xdr:col>8</xdr:col>
      <xdr:colOff>182880</xdr:colOff>
      <xdr:row>77</xdr:row>
      <xdr:rowOff>58420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E291BA6A-6C2F-4C18-A0D2-4F9045ED3621}"/>
            </a:ext>
          </a:extLst>
        </xdr:cNvPr>
        <xdr:cNvCxnSpPr/>
      </xdr:nvCxnSpPr>
      <xdr:spPr>
        <a:xfrm flipH="1">
          <a:off x="5557520" y="14869795"/>
          <a:ext cx="127381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360680</xdr:colOff>
      <xdr:row>79</xdr:row>
      <xdr:rowOff>5080</xdr:rowOff>
    </xdr:from>
    <xdr:to>
      <xdr:col>12</xdr:col>
      <xdr:colOff>360680</xdr:colOff>
      <xdr:row>83</xdr:row>
      <xdr:rowOff>7620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935553E5-52F9-41AB-97D3-D4E076A040B5}"/>
            </a:ext>
          </a:extLst>
        </xdr:cNvPr>
        <xdr:cNvCxnSpPr/>
      </xdr:nvCxnSpPr>
      <xdr:spPr>
        <a:xfrm flipV="1">
          <a:off x="10904855" y="15197455"/>
          <a:ext cx="0" cy="7645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1000760</xdr:colOff>
      <xdr:row>79</xdr:row>
      <xdr:rowOff>12700</xdr:rowOff>
    </xdr:from>
    <xdr:to>
      <xdr:col>8</xdr:col>
      <xdr:colOff>1000760</xdr:colOff>
      <xdr:row>83</xdr:row>
      <xdr:rowOff>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661EF661-4661-4C7A-8EDB-BD071791C62A}"/>
            </a:ext>
          </a:extLst>
        </xdr:cNvPr>
        <xdr:cNvCxnSpPr/>
      </xdr:nvCxnSpPr>
      <xdr:spPr>
        <a:xfrm flipV="1">
          <a:off x="7630160" y="15205075"/>
          <a:ext cx="0" cy="74930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574040</xdr:colOff>
      <xdr:row>106</xdr:row>
      <xdr:rowOff>111760</xdr:rowOff>
    </xdr:from>
    <xdr:to>
      <xdr:col>5</xdr:col>
      <xdr:colOff>205740</xdr:colOff>
      <xdr:row>106</xdr:row>
      <xdr:rowOff>111760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2820DE38-9476-48E9-A712-74A52C05BF60}"/>
            </a:ext>
          </a:extLst>
        </xdr:cNvPr>
        <xdr:cNvCxnSpPr/>
      </xdr:nvCxnSpPr>
      <xdr:spPr>
        <a:xfrm flipH="1">
          <a:off x="3221990" y="20552410"/>
          <a:ext cx="127000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220980</xdr:colOff>
      <xdr:row>103</xdr:row>
      <xdr:rowOff>129540</xdr:rowOff>
    </xdr:from>
    <xdr:to>
      <xdr:col>3</xdr:col>
      <xdr:colOff>411480</xdr:colOff>
      <xdr:row>109</xdr:row>
      <xdr:rowOff>83820</xdr:rowOff>
    </xdr:to>
    <xdr:sp macro="" textlink="">
      <xdr:nvSpPr>
        <xdr:cNvPr id="30" name="Right Brace 29">
          <a:extLst>
            <a:ext uri="{FF2B5EF4-FFF2-40B4-BE49-F238E27FC236}">
              <a16:creationId xmlns:a16="http://schemas.microsoft.com/office/drawing/2014/main" id="{4B0F5C13-6488-422B-89E9-C6560A06F907}"/>
            </a:ext>
          </a:extLst>
        </xdr:cNvPr>
        <xdr:cNvSpPr/>
      </xdr:nvSpPr>
      <xdr:spPr>
        <a:xfrm>
          <a:off x="2868930" y="19998690"/>
          <a:ext cx="190500" cy="109728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563880</xdr:colOff>
      <xdr:row>99</xdr:row>
      <xdr:rowOff>76200</xdr:rowOff>
    </xdr:from>
    <xdr:to>
      <xdr:col>7</xdr:col>
      <xdr:colOff>15240</xdr:colOff>
      <xdr:row>105</xdr:row>
      <xdr:rowOff>5080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DC399715-4A85-4EA3-A079-1B7F04ABB64B}"/>
            </a:ext>
          </a:extLst>
        </xdr:cNvPr>
        <xdr:cNvCxnSpPr/>
      </xdr:nvCxnSpPr>
      <xdr:spPr>
        <a:xfrm flipH="1" flipV="1">
          <a:off x="4850130" y="19183350"/>
          <a:ext cx="975360" cy="10718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96</xdr:row>
      <xdr:rowOff>152400</xdr:rowOff>
    </xdr:from>
    <xdr:to>
      <xdr:col>5</xdr:col>
      <xdr:colOff>342900</xdr:colOff>
      <xdr:row>102</xdr:row>
      <xdr:rowOff>45720</xdr:rowOff>
    </xdr:to>
    <xdr:sp macro="" textlink="">
      <xdr:nvSpPr>
        <xdr:cNvPr id="32" name="Right Brace 31">
          <a:extLst>
            <a:ext uri="{FF2B5EF4-FFF2-40B4-BE49-F238E27FC236}">
              <a16:creationId xmlns:a16="http://schemas.microsoft.com/office/drawing/2014/main" id="{3046ECBB-0F00-494C-BCD6-42C1CD456A4C}"/>
            </a:ext>
          </a:extLst>
        </xdr:cNvPr>
        <xdr:cNvSpPr/>
      </xdr:nvSpPr>
      <xdr:spPr>
        <a:xfrm>
          <a:off x="4438650" y="18640425"/>
          <a:ext cx="190500" cy="1083945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674370</xdr:colOff>
      <xdr:row>96</xdr:row>
      <xdr:rowOff>57150</xdr:rowOff>
    </xdr:from>
    <xdr:to>
      <xdr:col>8</xdr:col>
      <xdr:colOff>64770</xdr:colOff>
      <xdr:row>97</xdr:row>
      <xdr:rowOff>64770</xdr:rowOff>
    </xdr:to>
    <xdr:sp macro="" textlink="">
      <xdr:nvSpPr>
        <xdr:cNvPr id="33" name="Right Brace 32">
          <a:extLst>
            <a:ext uri="{FF2B5EF4-FFF2-40B4-BE49-F238E27FC236}">
              <a16:creationId xmlns:a16="http://schemas.microsoft.com/office/drawing/2014/main" id="{0BBC775D-7404-41E4-87C4-4CC14A788E6D}"/>
            </a:ext>
          </a:extLst>
        </xdr:cNvPr>
        <xdr:cNvSpPr/>
      </xdr:nvSpPr>
      <xdr:spPr>
        <a:xfrm rot="5400000">
          <a:off x="6109335" y="18139410"/>
          <a:ext cx="198120" cy="100965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132080</xdr:colOff>
      <xdr:row>114</xdr:row>
      <xdr:rowOff>104140</xdr:rowOff>
    </xdr:from>
    <xdr:to>
      <xdr:col>4</xdr:col>
      <xdr:colOff>563880</xdr:colOff>
      <xdr:row>114</xdr:row>
      <xdr:rowOff>104140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8CE6F9EB-1A01-4087-A1D3-35C120BA1C6D}"/>
            </a:ext>
          </a:extLst>
        </xdr:cNvPr>
        <xdr:cNvCxnSpPr/>
      </xdr:nvCxnSpPr>
      <xdr:spPr>
        <a:xfrm flipH="1">
          <a:off x="2780030" y="2206879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665480</xdr:colOff>
      <xdr:row>118</xdr:row>
      <xdr:rowOff>96520</xdr:rowOff>
    </xdr:from>
    <xdr:to>
      <xdr:col>9</xdr:col>
      <xdr:colOff>114300</xdr:colOff>
      <xdr:row>118</xdr:row>
      <xdr:rowOff>96520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03E67C80-BDCF-4C42-AFDB-84AA332A0CA5}"/>
            </a:ext>
          </a:extLst>
        </xdr:cNvPr>
        <xdr:cNvCxnSpPr/>
      </xdr:nvCxnSpPr>
      <xdr:spPr>
        <a:xfrm flipH="1">
          <a:off x="4951730" y="22823170"/>
          <a:ext cx="2792095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726440</xdr:colOff>
      <xdr:row>119</xdr:row>
      <xdr:rowOff>119380</xdr:rowOff>
    </xdr:from>
    <xdr:to>
      <xdr:col>7</xdr:col>
      <xdr:colOff>411479</xdr:colOff>
      <xdr:row>122</xdr:row>
      <xdr:rowOff>20955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36FE8039-F34E-45CC-AD9A-CC3B4A21EF34}"/>
            </a:ext>
          </a:extLst>
        </xdr:cNvPr>
        <xdr:cNvCxnSpPr>
          <a:stCxn id="12" idx="1"/>
        </xdr:cNvCxnSpPr>
      </xdr:nvCxnSpPr>
      <xdr:spPr>
        <a:xfrm flipH="1" flipV="1">
          <a:off x="5012690" y="23036530"/>
          <a:ext cx="1209039" cy="473075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154940</xdr:colOff>
      <xdr:row>127</xdr:row>
      <xdr:rowOff>104140</xdr:rowOff>
    </xdr:from>
    <xdr:to>
      <xdr:col>4</xdr:col>
      <xdr:colOff>586740</xdr:colOff>
      <xdr:row>127</xdr:row>
      <xdr:rowOff>104140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E46E987E-7D96-43F7-B754-CF276501E014}"/>
            </a:ext>
          </a:extLst>
        </xdr:cNvPr>
        <xdr:cNvCxnSpPr/>
      </xdr:nvCxnSpPr>
      <xdr:spPr>
        <a:xfrm flipH="1">
          <a:off x="2802890" y="24545290"/>
          <a:ext cx="128905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861060</xdr:colOff>
      <xdr:row>125</xdr:row>
      <xdr:rowOff>60960</xdr:rowOff>
    </xdr:from>
    <xdr:to>
      <xdr:col>14</xdr:col>
      <xdr:colOff>236426</xdr:colOff>
      <xdr:row>129</xdr:row>
      <xdr:rowOff>30541</xdr:rowOff>
    </xdr:to>
    <xdr:pic>
      <xdr:nvPicPr>
        <xdr:cNvPr id="38" name="Picture 37" descr="A close up of a logo&#10;&#10;Description automatically generated">
          <a:extLst>
            <a:ext uri="{FF2B5EF4-FFF2-40B4-BE49-F238E27FC236}">
              <a16:creationId xmlns:a16="http://schemas.microsoft.com/office/drawing/2014/main" id="{4F25F3CF-8392-46F2-9283-9873EBA68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785" y="24121110"/>
          <a:ext cx="2290016" cy="731581"/>
        </a:xfrm>
        <a:prstGeom prst="rect">
          <a:avLst/>
        </a:prstGeom>
      </xdr:spPr>
    </xdr:pic>
    <xdr:clientData/>
  </xdr:twoCellAnchor>
  <xdr:twoCellAnchor>
    <xdr:from>
      <xdr:col>3</xdr:col>
      <xdr:colOff>711200</xdr:colOff>
      <xdr:row>133</xdr:row>
      <xdr:rowOff>96520</xdr:rowOff>
    </xdr:from>
    <xdr:to>
      <xdr:col>5</xdr:col>
      <xdr:colOff>655320</xdr:colOff>
      <xdr:row>133</xdr:row>
      <xdr:rowOff>96520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9E585BBC-3FE4-4BB0-BE36-4FFB1EFEFB21}"/>
            </a:ext>
          </a:extLst>
        </xdr:cNvPr>
        <xdr:cNvCxnSpPr/>
      </xdr:nvCxnSpPr>
      <xdr:spPr>
        <a:xfrm flipH="1">
          <a:off x="3359150" y="25680670"/>
          <a:ext cx="158242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175260</xdr:colOff>
      <xdr:row>159</xdr:row>
      <xdr:rowOff>60960</xdr:rowOff>
    </xdr:from>
    <xdr:to>
      <xdr:col>8</xdr:col>
      <xdr:colOff>518160</xdr:colOff>
      <xdr:row>161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B8D8F96-7F69-4647-A289-220CB6FEDAB9}"/>
            </a:ext>
          </a:extLst>
        </xdr:cNvPr>
        <xdr:cNvSpPr txBox="1"/>
      </xdr:nvSpPr>
      <xdr:spPr>
        <a:xfrm>
          <a:off x="5204460" y="30598110"/>
          <a:ext cx="1962150" cy="434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Downwash</a:t>
          </a:r>
        </a:p>
      </xdr:txBody>
    </xdr:sp>
    <xdr:clientData/>
  </xdr:twoCellAnchor>
  <xdr:twoCellAnchor>
    <xdr:from>
      <xdr:col>6</xdr:col>
      <xdr:colOff>160020</xdr:colOff>
      <xdr:row>166</xdr:row>
      <xdr:rowOff>76200</xdr:rowOff>
    </xdr:from>
    <xdr:to>
      <xdr:col>8</xdr:col>
      <xdr:colOff>502920</xdr:colOff>
      <xdr:row>168</xdr:row>
      <xdr:rowOff>129540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2143300-1BC9-4445-B395-D8F0054BAC48}"/>
            </a:ext>
          </a:extLst>
        </xdr:cNvPr>
        <xdr:cNvSpPr txBox="1"/>
      </xdr:nvSpPr>
      <xdr:spPr>
        <a:xfrm>
          <a:off x="5189220" y="31946850"/>
          <a:ext cx="1962150" cy="434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Induced angle</a:t>
          </a:r>
        </a:p>
      </xdr:txBody>
    </xdr:sp>
    <xdr:clientData/>
  </xdr:twoCellAnchor>
  <xdr:twoCellAnchor>
    <xdr:from>
      <xdr:col>4</xdr:col>
      <xdr:colOff>33020</xdr:colOff>
      <xdr:row>160</xdr:row>
      <xdr:rowOff>81280</xdr:rowOff>
    </xdr:from>
    <xdr:to>
      <xdr:col>6</xdr:col>
      <xdr:colOff>99060</xdr:colOff>
      <xdr:row>160</xdr:row>
      <xdr:rowOff>81280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72905AEC-AE93-422B-85C1-C1F48CEB36B3}"/>
            </a:ext>
          </a:extLst>
        </xdr:cNvPr>
        <xdr:cNvCxnSpPr/>
      </xdr:nvCxnSpPr>
      <xdr:spPr>
        <a:xfrm flipH="1">
          <a:off x="3538220" y="30808930"/>
          <a:ext cx="159004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368300</xdr:colOff>
      <xdr:row>167</xdr:row>
      <xdr:rowOff>104140</xdr:rowOff>
    </xdr:from>
    <xdr:to>
      <xdr:col>6</xdr:col>
      <xdr:colOff>83820</xdr:colOff>
      <xdr:row>167</xdr:row>
      <xdr:rowOff>104140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9F276E4E-BF63-4844-B616-04A830817598}"/>
            </a:ext>
          </a:extLst>
        </xdr:cNvPr>
        <xdr:cNvCxnSpPr/>
      </xdr:nvCxnSpPr>
      <xdr:spPr>
        <a:xfrm flipH="1">
          <a:off x="2073275" y="32165290"/>
          <a:ext cx="3039745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30480</xdr:colOff>
      <xdr:row>143</xdr:row>
      <xdr:rowOff>0</xdr:rowOff>
    </xdr:from>
    <xdr:to>
      <xdr:col>10</xdr:col>
      <xdr:colOff>579120</xdr:colOff>
      <xdr:row>147</xdr:row>
      <xdr:rowOff>49530</xdr:rowOff>
    </xdr:to>
    <xdr:pic>
      <xdr:nvPicPr>
        <xdr:cNvPr id="44" name="Graphic 2">
          <a:extLst>
            <a:ext uri="{FF2B5EF4-FFF2-40B4-BE49-F238E27FC236}">
              <a16:creationId xmlns:a16="http://schemas.microsoft.com/office/drawing/2014/main" id="{AA12E264-3C23-48E0-B58D-DD8D7F358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9"/>
            </a:ext>
          </a:extLst>
        </a:blip>
        <a:stretch>
          <a:fillRect/>
        </a:stretch>
      </xdr:blipFill>
      <xdr:spPr>
        <a:xfrm>
          <a:off x="5840730" y="27489150"/>
          <a:ext cx="3348990" cy="811530"/>
        </a:xfrm>
        <a:prstGeom prst="rect">
          <a:avLst/>
        </a:prstGeom>
      </xdr:spPr>
    </xdr:pic>
    <xdr:clientData/>
  </xdr:twoCellAnchor>
  <xdr:twoCellAnchor>
    <xdr:from>
      <xdr:col>3</xdr:col>
      <xdr:colOff>414020</xdr:colOff>
      <xdr:row>144</xdr:row>
      <xdr:rowOff>96520</xdr:rowOff>
    </xdr:from>
    <xdr:to>
      <xdr:col>6</xdr:col>
      <xdr:colOff>784860</xdr:colOff>
      <xdr:row>144</xdr:row>
      <xdr:rowOff>96520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F271152F-B225-4C03-93CB-55A310F63117}"/>
            </a:ext>
          </a:extLst>
        </xdr:cNvPr>
        <xdr:cNvCxnSpPr/>
      </xdr:nvCxnSpPr>
      <xdr:spPr>
        <a:xfrm flipH="1">
          <a:off x="3061970" y="27776170"/>
          <a:ext cx="275209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114301</xdr:colOff>
      <xdr:row>148</xdr:row>
      <xdr:rowOff>76201</xdr:rowOff>
    </xdr:from>
    <xdr:to>
      <xdr:col>10</xdr:col>
      <xdr:colOff>82544</xdr:colOff>
      <xdr:row>152</xdr:row>
      <xdr:rowOff>158568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1FFC970-06D1-47D6-9283-DCBEFF313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1" y="28517851"/>
          <a:ext cx="2768593" cy="84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398780</xdr:colOff>
      <xdr:row>150</xdr:row>
      <xdr:rowOff>111760</xdr:rowOff>
    </xdr:from>
    <xdr:to>
      <xdr:col>6</xdr:col>
      <xdr:colOff>769620</xdr:colOff>
      <xdr:row>150</xdr:row>
      <xdr:rowOff>111760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71403235-A6EC-4ADB-9AFA-8837465CDDDE}"/>
            </a:ext>
          </a:extLst>
        </xdr:cNvPr>
        <xdr:cNvCxnSpPr/>
      </xdr:nvCxnSpPr>
      <xdr:spPr>
        <a:xfrm flipH="1">
          <a:off x="3046730" y="28934410"/>
          <a:ext cx="2752090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457201</xdr:colOff>
      <xdr:row>147</xdr:row>
      <xdr:rowOff>160020</xdr:rowOff>
    </xdr:from>
    <xdr:to>
      <xdr:col>5</xdr:col>
      <xdr:colOff>71742</xdr:colOff>
      <xdr:row>149</xdr:row>
      <xdr:rowOff>46656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321E53B-0D11-48C6-B6F4-CE9A796B3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1" y="28411170"/>
          <a:ext cx="1252841" cy="26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411480</xdr:colOff>
      <xdr:row>98</xdr:row>
      <xdr:rowOff>38100</xdr:rowOff>
    </xdr:from>
    <xdr:to>
      <xdr:col>7</xdr:col>
      <xdr:colOff>718820</xdr:colOff>
      <xdr:row>104</xdr:row>
      <xdr:rowOff>144780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89F3BACD-BF73-439A-9888-87DB2CD011A2}"/>
            </a:ext>
          </a:extLst>
        </xdr:cNvPr>
        <xdr:cNvCxnSpPr/>
      </xdr:nvCxnSpPr>
      <xdr:spPr>
        <a:xfrm flipH="1" flipV="1">
          <a:off x="6221730" y="18954750"/>
          <a:ext cx="307340" cy="12496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739775</xdr:colOff>
      <xdr:row>65</xdr:row>
      <xdr:rowOff>35560</xdr:rowOff>
    </xdr:from>
    <xdr:to>
      <xdr:col>5</xdr:col>
      <xdr:colOff>739775</xdr:colOff>
      <xdr:row>66</xdr:row>
      <xdr:rowOff>129540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DA10D2F0-A064-48FC-A360-684603CF3B66}"/>
            </a:ext>
          </a:extLst>
        </xdr:cNvPr>
        <xdr:cNvCxnSpPr/>
      </xdr:nvCxnSpPr>
      <xdr:spPr>
        <a:xfrm flipV="1">
          <a:off x="5026025" y="12503785"/>
          <a:ext cx="0" cy="28448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737235</xdr:colOff>
      <xdr:row>66</xdr:row>
      <xdr:rowOff>184785</xdr:rowOff>
    </xdr:from>
    <xdr:to>
      <xdr:col>8</xdr:col>
      <xdr:colOff>962025</xdr:colOff>
      <xdr:row>70</xdr:row>
      <xdr:rowOff>108585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BEBE56D-6946-48C4-ADBF-D5197EC052A6}"/>
            </a:ext>
          </a:extLst>
        </xdr:cNvPr>
        <xdr:cNvSpPr txBox="1"/>
      </xdr:nvSpPr>
      <xdr:spPr>
        <a:xfrm>
          <a:off x="2442210" y="12843510"/>
          <a:ext cx="5168265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careful to check if you are using wing-span b or wing semi-span b/2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These values are not used in the actual computation. 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They represent the domain transformation.</a:t>
          </a:r>
        </a:p>
      </xdr:txBody>
    </xdr:sp>
    <xdr:clientData/>
  </xdr:twoCellAnchor>
  <xdr:twoCellAnchor>
    <xdr:from>
      <xdr:col>5</xdr:col>
      <xdr:colOff>5715</xdr:colOff>
      <xdr:row>56</xdr:row>
      <xdr:rowOff>129540</xdr:rowOff>
    </xdr:from>
    <xdr:to>
      <xdr:col>6</xdr:col>
      <xdr:colOff>775335</xdr:colOff>
      <xdr:row>57</xdr:row>
      <xdr:rowOff>160020</xdr:rowOff>
    </xdr:to>
    <xdr:sp macro="" textlink="">
      <xdr:nvSpPr>
        <xdr:cNvPr id="52" name="Right Brace 51">
          <a:extLst>
            <a:ext uri="{FF2B5EF4-FFF2-40B4-BE49-F238E27FC236}">
              <a16:creationId xmlns:a16="http://schemas.microsoft.com/office/drawing/2014/main" id="{4FCCAB05-09AB-4F57-BC80-4143ACC0FEC6}"/>
            </a:ext>
          </a:extLst>
        </xdr:cNvPr>
        <xdr:cNvSpPr/>
      </xdr:nvSpPr>
      <xdr:spPr>
        <a:xfrm rot="16200000">
          <a:off x="4937760" y="10151745"/>
          <a:ext cx="220980" cy="1512570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3810</xdr:colOff>
      <xdr:row>63</xdr:row>
      <xdr:rowOff>45720</xdr:rowOff>
    </xdr:from>
    <xdr:to>
      <xdr:col>6</xdr:col>
      <xdr:colOff>763905</xdr:colOff>
      <xdr:row>64</xdr:row>
      <xdr:rowOff>76200</xdr:rowOff>
    </xdr:to>
    <xdr:sp macro="" textlink="">
      <xdr:nvSpPr>
        <xdr:cNvPr id="53" name="Right Brace 52">
          <a:extLst>
            <a:ext uri="{FF2B5EF4-FFF2-40B4-BE49-F238E27FC236}">
              <a16:creationId xmlns:a16="http://schemas.microsoft.com/office/drawing/2014/main" id="{0D553B49-2858-499B-BC14-7B0EA3C07255}"/>
            </a:ext>
          </a:extLst>
        </xdr:cNvPr>
        <xdr:cNvSpPr/>
      </xdr:nvSpPr>
      <xdr:spPr>
        <a:xfrm rot="5400000">
          <a:off x="4931093" y="11491912"/>
          <a:ext cx="220980" cy="1503045"/>
        </a:xfrm>
        <a:prstGeom prst="rightBrac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21</xdr:col>
      <xdr:colOff>15240</xdr:colOff>
      <xdr:row>54</xdr:row>
      <xdr:rowOff>83820</xdr:rowOff>
    </xdr:from>
    <xdr:to>
      <xdr:col>32</xdr:col>
      <xdr:colOff>480060</xdr:colOff>
      <xdr:row>82</xdr:row>
      <xdr:rowOff>157321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936646DF-17EF-40F2-AFF6-0123619C6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4540" y="10370820"/>
          <a:ext cx="7170420" cy="5550376"/>
        </a:xfrm>
        <a:prstGeom prst="rect">
          <a:avLst/>
        </a:prstGeom>
      </xdr:spPr>
    </xdr:pic>
    <xdr:clientData/>
  </xdr:twoCellAnchor>
  <xdr:twoCellAnchor>
    <xdr:from>
      <xdr:col>9</xdr:col>
      <xdr:colOff>219075</xdr:colOff>
      <xdr:row>68</xdr:row>
      <xdr:rowOff>106680</xdr:rowOff>
    </xdr:from>
    <xdr:to>
      <xdr:col>20</xdr:col>
      <xdr:colOff>502921</xdr:colOff>
      <xdr:row>68</xdr:row>
      <xdr:rowOff>106680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DAE42FCA-BDD0-4D16-BEE0-F5C22739A7C7}"/>
            </a:ext>
          </a:extLst>
        </xdr:cNvPr>
        <xdr:cNvCxnSpPr/>
      </xdr:nvCxnSpPr>
      <xdr:spPr>
        <a:xfrm flipH="1">
          <a:off x="7848600" y="13146405"/>
          <a:ext cx="9304021" cy="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</xdr:row>
      <xdr:rowOff>0</xdr:rowOff>
    </xdr:from>
    <xdr:to>
      <xdr:col>14</xdr:col>
      <xdr:colOff>937260</xdr:colOff>
      <xdr:row>6</xdr:row>
      <xdr:rowOff>68580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2F19018-E20A-4DB3-B840-D810B385EFAE}"/>
            </a:ext>
          </a:extLst>
        </xdr:cNvPr>
        <xdr:cNvSpPr txBox="1"/>
      </xdr:nvSpPr>
      <xdr:spPr>
        <a:xfrm>
          <a:off x="7629525" y="190500"/>
          <a:ext cx="5833110" cy="102108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 eaLnBrk="1" latinLnBrk="0" hangingPunct="1"/>
          <a:r>
            <a:rPr lang="en-US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CLEAN WORKSHEET</a:t>
          </a:r>
        </a:p>
        <a:p>
          <a:pPr rtl="0" eaLnBrk="1" latinLnBrk="0" hangingPunct="1"/>
          <a:r>
            <a:rPr lang="en-US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implementation does not takes into account neither</a:t>
          </a:r>
          <a:r>
            <a:rPr lang="en-US" sz="14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aerodynamic twist nor geometrical twist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457199</xdr:colOff>
      <xdr:row>27</xdr:row>
      <xdr:rowOff>123826</xdr:rowOff>
    </xdr:from>
    <xdr:to>
      <xdr:col>15</xdr:col>
      <xdr:colOff>323849</xdr:colOff>
      <xdr:row>45</xdr:row>
      <xdr:rowOff>169836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A004E9E-F914-4091-902D-DE0A69D9A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4" y="5267326"/>
          <a:ext cx="5838825" cy="347501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37</xdr:row>
      <xdr:rowOff>114300</xdr:rowOff>
    </xdr:from>
    <xdr:to>
      <xdr:col>1</xdr:col>
      <xdr:colOff>1000519</xdr:colOff>
      <xdr:row>41</xdr:row>
      <xdr:rowOff>44866</xdr:rowOff>
    </xdr:to>
    <xdr:pic>
      <xdr:nvPicPr>
        <xdr:cNvPr id="58" name="Picture 57" descr="A close up of a logo&#10;&#10;Description automatically generated">
          <a:extLst>
            <a:ext uri="{FF2B5EF4-FFF2-40B4-BE49-F238E27FC236}">
              <a16:creationId xmlns:a16="http://schemas.microsoft.com/office/drawing/2014/main" id="{402FD97D-9193-4E4B-B4DF-AC5A80FE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2800"/>
          <a:ext cx="1048144" cy="692566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37</xdr:row>
      <xdr:rowOff>57150</xdr:rowOff>
    </xdr:from>
    <xdr:to>
      <xdr:col>5</xdr:col>
      <xdr:colOff>476250</xdr:colOff>
      <xdr:row>42</xdr:row>
      <xdr:rowOff>41910</xdr:rowOff>
    </xdr:to>
    <xdr:pic>
      <xdr:nvPicPr>
        <xdr:cNvPr id="59" name="Graphic 11">
          <a:extLst>
            <a:ext uri="{FF2B5EF4-FFF2-40B4-BE49-F238E27FC236}">
              <a16:creationId xmlns:a16="http://schemas.microsoft.com/office/drawing/2014/main" id="{3B528DBB-D901-46D2-8259-2AF67C44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2362200" y="7105650"/>
          <a:ext cx="2400300" cy="937260"/>
        </a:xfrm>
        <a:prstGeom prst="rect">
          <a:avLst/>
        </a:prstGeom>
      </xdr:spPr>
    </xdr:pic>
    <xdr:clientData/>
  </xdr:twoCellAnchor>
  <xdr:twoCellAnchor editAs="oneCell">
    <xdr:from>
      <xdr:col>16</xdr:col>
      <xdr:colOff>295275</xdr:colOff>
      <xdr:row>0</xdr:row>
      <xdr:rowOff>95250</xdr:rowOff>
    </xdr:from>
    <xdr:to>
      <xdr:col>22</xdr:col>
      <xdr:colOff>600075</xdr:colOff>
      <xdr:row>13</xdr:row>
      <xdr:rowOff>149963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AD9A837-A9AB-4581-96E3-D93F12F45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575" y="95250"/>
          <a:ext cx="3962400" cy="25312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28</xdr:row>
      <xdr:rowOff>7620</xdr:rowOff>
    </xdr:from>
    <xdr:to>
      <xdr:col>15</xdr:col>
      <xdr:colOff>106680</xdr:colOff>
      <xdr:row>54</xdr:row>
      <xdr:rowOff>144780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CC056A-C41F-4892-967D-95A6A33745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58</xdr:row>
      <xdr:rowOff>0</xdr:rowOff>
    </xdr:from>
    <xdr:to>
      <xdr:col>15</xdr:col>
      <xdr:colOff>83820</xdr:colOff>
      <xdr:row>84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B0BF87-0A3E-491B-A735-4CE47751D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739140</xdr:colOff>
      <xdr:row>20</xdr:row>
      <xdr:rowOff>0</xdr:rowOff>
    </xdr:from>
    <xdr:to>
      <xdr:col>14</xdr:col>
      <xdr:colOff>194310</xdr:colOff>
      <xdr:row>24</xdr:row>
      <xdr:rowOff>106680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E7F91F31-5A1D-408C-8807-A0C4D983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663940" y="3657600"/>
          <a:ext cx="2762250" cy="838200"/>
        </a:xfrm>
        <a:prstGeom prst="rect">
          <a:avLst/>
        </a:prstGeom>
      </xdr:spPr>
    </xdr:pic>
    <xdr:clientData/>
  </xdr:twoCellAnchor>
  <xdr:twoCellAnchor>
    <xdr:from>
      <xdr:col>12</xdr:col>
      <xdr:colOff>480060</xdr:colOff>
      <xdr:row>13</xdr:row>
      <xdr:rowOff>99060</xdr:rowOff>
    </xdr:from>
    <xdr:to>
      <xdr:col>12</xdr:col>
      <xdr:colOff>480060</xdr:colOff>
      <xdr:row>19</xdr:row>
      <xdr:rowOff>76200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F4A7D00-781D-4F85-AE9D-309627A5711E}"/>
            </a:ext>
          </a:extLst>
        </xdr:cNvPr>
        <xdr:cNvCxnSpPr/>
      </xdr:nvCxnSpPr>
      <xdr:spPr>
        <a:xfrm flipV="1">
          <a:off x="10134600" y="2476500"/>
          <a:ext cx="0" cy="107442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E8193-DC17-4921-817C-147770EC1106}">
  <dimension ref="A1"/>
  <sheetViews>
    <sheetView topLeftCell="A22"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10C3-0B86-4989-A1B7-D5419D081970}">
  <dimension ref="A2:S151"/>
  <sheetViews>
    <sheetView zoomScaleNormal="100" workbookViewId="0">
      <selection activeCell="C13" sqref="C13"/>
    </sheetView>
  </sheetViews>
  <sheetFormatPr defaultRowHeight="15" x14ac:dyDescent="0.25"/>
  <cols>
    <col min="1" max="1" width="8.85546875" style="1"/>
    <col min="2" max="2" width="16.42578125" style="1" customWidth="1"/>
    <col min="3" max="3" width="14.140625" style="1" customWidth="1"/>
    <col min="4" max="4" width="12.85546875" style="1" customWidth="1"/>
    <col min="5" max="5" width="11.7109375" style="1" customWidth="1"/>
    <col min="6" max="6" width="11.140625" style="1" customWidth="1"/>
    <col min="7" max="7" width="11.7109375" style="1" customWidth="1"/>
    <col min="8" max="8" width="12.5703125" style="1" customWidth="1"/>
    <col min="9" max="10" width="14.7109375" style="1" customWidth="1"/>
    <col min="11" max="11" width="15" style="1" customWidth="1"/>
    <col min="12" max="12" width="14" style="1" customWidth="1"/>
    <col min="13" max="13" width="13.7109375" style="1" customWidth="1"/>
    <col min="14" max="14" width="16" style="1" customWidth="1"/>
    <col min="15" max="15" width="16.140625" style="1" customWidth="1"/>
    <col min="16" max="17" width="8.85546875" style="1"/>
  </cols>
  <sheetData>
    <row r="2" spans="2:6" x14ac:dyDescent="0.25">
      <c r="B2" s="2"/>
      <c r="C2" s="1" t="s">
        <v>68</v>
      </c>
    </row>
    <row r="3" spans="2:6" x14ac:dyDescent="0.25">
      <c r="B3" s="3"/>
      <c r="C3" s="1" t="s">
        <v>69</v>
      </c>
    </row>
    <row r="4" spans="2:6" x14ac:dyDescent="0.25">
      <c r="B4" s="21"/>
      <c r="C4" s="1" t="s">
        <v>70</v>
      </c>
    </row>
    <row r="5" spans="2:6" x14ac:dyDescent="0.25">
      <c r="B5" s="8"/>
      <c r="C5" s="1" t="s">
        <v>53</v>
      </c>
    </row>
    <row r="6" spans="2:6" x14ac:dyDescent="0.25">
      <c r="B6" s="4"/>
    </row>
    <row r="7" spans="2:6" x14ac:dyDescent="0.25">
      <c r="B7" s="4"/>
    </row>
    <row r="9" spans="2:6" x14ac:dyDescent="0.25">
      <c r="B9" s="14" t="s">
        <v>5</v>
      </c>
      <c r="C9" s="8">
        <v>3.1415926500000002</v>
      </c>
    </row>
    <row r="11" spans="2:6" x14ac:dyDescent="0.25">
      <c r="B11" s="15" t="s">
        <v>63</v>
      </c>
      <c r="C11" s="2">
        <v>9</v>
      </c>
      <c r="F11" s="1" t="s">
        <v>3</v>
      </c>
    </row>
    <row r="12" spans="2:6" x14ac:dyDescent="0.25">
      <c r="B12" s="15" t="s">
        <v>61</v>
      </c>
      <c r="C12" s="2">
        <v>0.4</v>
      </c>
      <c r="F12" s="1" t="s">
        <v>85</v>
      </c>
    </row>
    <row r="13" spans="2:6" x14ac:dyDescent="0.25">
      <c r="B13" s="15" t="s">
        <v>48</v>
      </c>
      <c r="C13" s="2">
        <f>1*C26</f>
        <v>2.3225760000000002</v>
      </c>
      <c r="F13" s="1" t="s">
        <v>84</v>
      </c>
    </row>
    <row r="14" spans="2:6" x14ac:dyDescent="0.25">
      <c r="B14" s="4"/>
      <c r="C14" s="4"/>
    </row>
    <row r="15" spans="2:6" x14ac:dyDescent="0.25">
      <c r="C15" s="9" t="s">
        <v>52</v>
      </c>
      <c r="D15" s="9" t="s">
        <v>51</v>
      </c>
    </row>
    <row r="16" spans="2:6" x14ac:dyDescent="0.25">
      <c r="B16" s="15" t="s">
        <v>42</v>
      </c>
      <c r="C16" s="2"/>
      <c r="D16" s="2">
        <f>2*C9</f>
        <v>6.2831853000000004</v>
      </c>
      <c r="F16" s="1" t="s">
        <v>4</v>
      </c>
    </row>
    <row r="17" spans="1:17" x14ac:dyDescent="0.25">
      <c r="B17" s="15" t="s">
        <v>0</v>
      </c>
      <c r="C17" s="2">
        <v>4</v>
      </c>
      <c r="D17" s="2">
        <f>RADIANS(C17)</f>
        <v>6.9813170079773182E-2</v>
      </c>
      <c r="F17" s="1" t="s">
        <v>46</v>
      </c>
    </row>
    <row r="18" spans="1:17" x14ac:dyDescent="0.25">
      <c r="B18" s="15" t="s">
        <v>1</v>
      </c>
      <c r="C18" s="2">
        <v>-1.2</v>
      </c>
      <c r="D18" s="2">
        <f>RADIANS(C18)</f>
        <v>-2.0943951023931952E-2</v>
      </c>
      <c r="F18" s="1" t="s">
        <v>47</v>
      </c>
      <c r="I18" s="24" t="s">
        <v>90</v>
      </c>
      <c r="J18" s="24"/>
    </row>
    <row r="20" spans="1:17" x14ac:dyDescent="0.25">
      <c r="B20" s="15" t="s">
        <v>81</v>
      </c>
      <c r="C20" s="2">
        <v>2.286</v>
      </c>
      <c r="D20"/>
      <c r="F20" s="1" t="s">
        <v>82</v>
      </c>
    </row>
    <row r="21" spans="1:17" x14ac:dyDescent="0.25">
      <c r="B21" s="15" t="s">
        <v>6</v>
      </c>
      <c r="C21" s="2">
        <f>C20*2</f>
        <v>4.5720000000000001</v>
      </c>
      <c r="D21"/>
      <c r="F21" s="1" t="s">
        <v>83</v>
      </c>
    </row>
    <row r="22" spans="1:17" x14ac:dyDescent="0.25">
      <c r="B22" s="15" t="s">
        <v>7</v>
      </c>
      <c r="C22" s="2">
        <v>0.72599999999999998</v>
      </c>
      <c r="F22" s="1" t="s">
        <v>9</v>
      </c>
    </row>
    <row r="23" spans="1:17" x14ac:dyDescent="0.25">
      <c r="B23" s="4"/>
      <c r="C23" s="4"/>
      <c r="D23" s="4"/>
    </row>
    <row r="24" spans="1:17" x14ac:dyDescent="0.25">
      <c r="B24" s="16" t="s">
        <v>8</v>
      </c>
      <c r="C24" s="5">
        <v>0.28999999999999998</v>
      </c>
      <c r="F24" s="1" t="s">
        <v>10</v>
      </c>
    </row>
    <row r="25" spans="1:17" s="17" customFormat="1" x14ac:dyDescent="0.25">
      <c r="A25" s="4"/>
      <c r="B25" s="12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 x14ac:dyDescent="0.25">
      <c r="B26" s="19" t="s">
        <v>49</v>
      </c>
      <c r="C26" s="20">
        <f>C21*(C22+C24)/2</f>
        <v>2.3225760000000002</v>
      </c>
      <c r="F26" s="1" t="s">
        <v>86</v>
      </c>
    </row>
    <row r="27" spans="1:17" x14ac:dyDescent="0.25">
      <c r="B27" s="19" t="s">
        <v>50</v>
      </c>
      <c r="C27" s="20">
        <f>+C24/C22</f>
        <v>0.39944903581267216</v>
      </c>
      <c r="F27" s="1" t="s">
        <v>87</v>
      </c>
    </row>
    <row r="28" spans="1:17" x14ac:dyDescent="0.25">
      <c r="B28" s="12"/>
      <c r="C28" s="4"/>
    </row>
    <row r="29" spans="1:17" x14ac:dyDescent="0.25">
      <c r="B29" s="19" t="s">
        <v>64</v>
      </c>
      <c r="C29" s="20">
        <f>(C21)^2/(C26)</f>
        <v>8.9999999999999982</v>
      </c>
      <c r="F29" s="1" t="s">
        <v>80</v>
      </c>
    </row>
    <row r="30" spans="1:17" x14ac:dyDescent="0.25">
      <c r="B30" s="19" t="s">
        <v>65</v>
      </c>
      <c r="C30" s="20">
        <f>(C20)^2/(0.5*C26)</f>
        <v>4.4999999999999991</v>
      </c>
      <c r="F30" s="1" t="s">
        <v>79</v>
      </c>
    </row>
    <row r="31" spans="1:17" x14ac:dyDescent="0.25">
      <c r="B31" s="4"/>
      <c r="C31" s="4"/>
    </row>
    <row r="32" spans="1:17" x14ac:dyDescent="0.25">
      <c r="B32" s="19" t="s">
        <v>59</v>
      </c>
      <c r="C32" s="20">
        <f>C21/2</f>
        <v>2.286</v>
      </c>
      <c r="F32" s="1" t="s">
        <v>60</v>
      </c>
    </row>
    <row r="33" spans="2:7" x14ac:dyDescent="0.25">
      <c r="B33" s="4"/>
      <c r="C33" s="4"/>
      <c r="D33" s="4"/>
      <c r="E33" s="4"/>
      <c r="F33" s="4"/>
      <c r="G33" s="4"/>
    </row>
    <row r="34" spans="2:7" x14ac:dyDescent="0.25">
      <c r="B34" s="14" t="s">
        <v>2</v>
      </c>
      <c r="C34" s="8">
        <v>4</v>
      </c>
      <c r="F34" s="1" t="s">
        <v>62</v>
      </c>
    </row>
    <row r="49" spans="2:19" x14ac:dyDescent="0.25">
      <c r="B49" s="10" t="s">
        <v>12</v>
      </c>
      <c r="C49" s="1">
        <f>D16/(2*(1+C12)*C11)</f>
        <v>0.24933275000000002</v>
      </c>
    </row>
    <row r="50" spans="2:19" x14ac:dyDescent="0.25">
      <c r="B50" s="4"/>
    </row>
    <row r="51" spans="2:19" x14ac:dyDescent="0.25">
      <c r="B51" s="4"/>
    </row>
    <row r="52" spans="2:19" x14ac:dyDescent="0.25">
      <c r="B52" s="4"/>
    </row>
    <row r="53" spans="2:19" x14ac:dyDescent="0.25">
      <c r="B53" s="4"/>
    </row>
    <row r="54" spans="2:19" x14ac:dyDescent="0.25">
      <c r="B54" s="4"/>
    </row>
    <row r="55" spans="2:19" x14ac:dyDescent="0.25">
      <c r="B55" s="4"/>
    </row>
    <row r="56" spans="2:19" x14ac:dyDescent="0.25">
      <c r="B56" s="4"/>
    </row>
    <row r="59" spans="2:19" ht="22.15" customHeight="1" x14ac:dyDescent="0.25">
      <c r="B59" s="22" t="s">
        <v>88</v>
      </c>
      <c r="C59" s="11" t="s">
        <v>28</v>
      </c>
      <c r="D59" s="11" t="s">
        <v>28</v>
      </c>
      <c r="E59" s="11" t="s">
        <v>29</v>
      </c>
      <c r="F59" s="18" t="s">
        <v>66</v>
      </c>
      <c r="G59" s="18" t="s">
        <v>67</v>
      </c>
      <c r="H59" s="11" t="s">
        <v>35</v>
      </c>
      <c r="I59" s="11" t="s">
        <v>30</v>
      </c>
      <c r="J59" s="11" t="s">
        <v>31</v>
      </c>
      <c r="K59" s="11" t="s">
        <v>32</v>
      </c>
      <c r="L59" s="11" t="s">
        <v>33</v>
      </c>
      <c r="M59" s="11" t="s">
        <v>34</v>
      </c>
      <c r="N59" s="11" t="s">
        <v>11</v>
      </c>
      <c r="R59" s="1"/>
      <c r="S59" s="1"/>
    </row>
    <row r="60" spans="2:19" x14ac:dyDescent="0.25">
      <c r="B60" s="23">
        <v>1</v>
      </c>
      <c r="C60" s="7" t="s">
        <v>24</v>
      </c>
      <c r="D60" s="7">
        <v>22.5</v>
      </c>
      <c r="E60" s="7">
        <f>RADIANS(D60)</f>
        <v>0.39269908169872414</v>
      </c>
      <c r="F60" s="7">
        <f>($C$21)*I60</f>
        <v>4.2239772226416035</v>
      </c>
      <c r="G60" s="7">
        <f>($C$20)*I60</f>
        <v>2.1119886113208017</v>
      </c>
      <c r="H60" s="7">
        <f>$C$22*(1+($C$12-1)*I60)</f>
        <v>0.32355807563808348</v>
      </c>
      <c r="I60" s="7">
        <f>COS(E60)</f>
        <v>0.92387953251128674</v>
      </c>
      <c r="J60" s="7">
        <f>SIN(E60)</f>
        <v>0.38268343236508978</v>
      </c>
      <c r="K60" s="7">
        <f>SIN(3*E60)</f>
        <v>0.92387953251128674</v>
      </c>
      <c r="L60" s="7">
        <f>SIN(5*E60)</f>
        <v>0.92387953251128674</v>
      </c>
      <c r="M60" s="7">
        <f>SIN(7*E60)</f>
        <v>0.38268343236508989</v>
      </c>
      <c r="N60" s="7">
        <f>$C$49*(1+($C$12-1)*I60)</f>
        <v>0.11112069529414789</v>
      </c>
      <c r="R60" s="1"/>
      <c r="S60" s="1"/>
    </row>
    <row r="61" spans="2:19" x14ac:dyDescent="0.25">
      <c r="B61" s="23">
        <v>2</v>
      </c>
      <c r="C61" s="7" t="s">
        <v>25</v>
      </c>
      <c r="D61" s="7">
        <v>45</v>
      </c>
      <c r="E61" s="7">
        <f t="shared" ref="E61:E63" si="0">RADIANS(D61)</f>
        <v>0.78539816339744828</v>
      </c>
      <c r="F61" s="7">
        <f t="shared" ref="F61:F63" si="1">($C$21)*I61</f>
        <v>3.2328922035848957</v>
      </c>
      <c r="G61" s="7">
        <f t="shared" ref="G61:G63" si="2">($C$20)*I61</f>
        <v>1.6164461017924479</v>
      </c>
      <c r="H61" s="7">
        <f>$C$22*(1+($C$12-1)*I61)</f>
        <v>0.41798428611513982</v>
      </c>
      <c r="I61" s="7">
        <f>COS(E61)</f>
        <v>0.70710678118654757</v>
      </c>
      <c r="J61" s="7">
        <f>SIN(E61)</f>
        <v>0.70710678118654746</v>
      </c>
      <c r="K61" s="7">
        <f>SIN(3*E61)</f>
        <v>0.70710678118654757</v>
      </c>
      <c r="L61" s="7">
        <f>SIN(5*E61)</f>
        <v>-0.70710678118654746</v>
      </c>
      <c r="M61" s="7">
        <f>SIN(7*E61)</f>
        <v>-0.70710678118654768</v>
      </c>
      <c r="N61" s="7">
        <f>$C$49*(1+($C$12-1)*I61)</f>
        <v>0.14354982302186589</v>
      </c>
      <c r="R61" s="1"/>
      <c r="S61" s="1"/>
    </row>
    <row r="62" spans="2:19" x14ac:dyDescent="0.25">
      <c r="B62" s="23">
        <v>3</v>
      </c>
      <c r="C62" s="7" t="s">
        <v>26</v>
      </c>
      <c r="D62" s="7">
        <v>67.5</v>
      </c>
      <c r="E62" s="7">
        <f t="shared" si="0"/>
        <v>1.1780972450961724</v>
      </c>
      <c r="F62" s="7">
        <f t="shared" si="1"/>
        <v>1.7496286527731908</v>
      </c>
      <c r="G62" s="7">
        <f t="shared" si="2"/>
        <v>0.8748143263865954</v>
      </c>
      <c r="H62" s="7">
        <f>$C$22*(1+($C$12-1)*I62)</f>
        <v>0.55930309686176682</v>
      </c>
      <c r="I62" s="7">
        <f>COS(E62)</f>
        <v>0.38268343236508984</v>
      </c>
      <c r="J62" s="7">
        <f>SIN(E62)</f>
        <v>0.92387953251128674</v>
      </c>
      <c r="K62" s="7">
        <f>SIN(3*E62)</f>
        <v>-0.38268343236508967</v>
      </c>
      <c r="L62" s="7">
        <f>SIN(5*E62)</f>
        <v>-0.38268343236509039</v>
      </c>
      <c r="M62" s="7">
        <f>SIN(7*E62)</f>
        <v>0.92387953251128674</v>
      </c>
      <c r="N62" s="7">
        <f>$C$49*(1+($C$12-1)*I62)</f>
        <v>0.1920834424573839</v>
      </c>
      <c r="R62" s="1"/>
      <c r="S62" s="1"/>
    </row>
    <row r="63" spans="2:19" x14ac:dyDescent="0.25">
      <c r="B63" s="23">
        <v>4</v>
      </c>
      <c r="C63" s="7" t="s">
        <v>27</v>
      </c>
      <c r="D63" s="7">
        <v>90</v>
      </c>
      <c r="E63" s="7">
        <f t="shared" si="0"/>
        <v>1.5707963267948966</v>
      </c>
      <c r="F63" s="7">
        <f t="shared" si="1"/>
        <v>2.8006893679211052E-16</v>
      </c>
      <c r="G63" s="7">
        <f t="shared" si="2"/>
        <v>1.4003446839605526E-16</v>
      </c>
      <c r="H63" s="7">
        <f>$C$22*(1+($C$12-1)*I63)</f>
        <v>0.72599999999999998</v>
      </c>
      <c r="I63" s="7">
        <f>COS(E63)</f>
        <v>6.1257422745431001E-17</v>
      </c>
      <c r="J63" s="7">
        <f>SIN(E63)</f>
        <v>1</v>
      </c>
      <c r="K63" s="7">
        <f>SIN(3*E63)</f>
        <v>-1</v>
      </c>
      <c r="L63" s="7">
        <f>SIN(5*E63)</f>
        <v>1</v>
      </c>
      <c r="M63" s="7">
        <f>SIN(7*E63)</f>
        <v>-1</v>
      </c>
      <c r="N63" s="7">
        <f>$C$49*(1+($C$12-1)*I63)</f>
        <v>0.24933275000000002</v>
      </c>
      <c r="R63" s="1"/>
      <c r="S63" s="1"/>
    </row>
    <row r="64" spans="2:19" x14ac:dyDescent="0.25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2:12" x14ac:dyDescent="0.25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2:12" x14ac:dyDescent="0.25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2:12" x14ac:dyDescent="0.25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2:12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2:12" x14ac:dyDescent="0.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2:12" x14ac:dyDescent="0.25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2:12" x14ac:dyDescent="0.25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2:12" x14ac:dyDescent="0.25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2:12" x14ac:dyDescent="0.25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6" spans="2:12" ht="19.899999999999999" customHeight="1" x14ac:dyDescent="0.25">
      <c r="B76" s="11" t="s">
        <v>13</v>
      </c>
      <c r="C76" s="11" t="s">
        <v>19</v>
      </c>
      <c r="D76" s="11" t="s">
        <v>20</v>
      </c>
      <c r="E76" s="11" t="s">
        <v>21</v>
      </c>
      <c r="F76" s="11" t="s">
        <v>22</v>
      </c>
    </row>
    <row r="77" spans="2:12" x14ac:dyDescent="0.25">
      <c r="B77" s="1">
        <f>N60*($D$17-$D$18)*J60</f>
        <v>3.8593602723513264E-3</v>
      </c>
      <c r="C77" s="1">
        <f>1*J60*(N60+J60)</f>
        <v>0.18897065848868602</v>
      </c>
      <c r="D77" s="1">
        <f>K60*(3*N60+J60)</f>
        <v>0.66153979865533319</v>
      </c>
      <c r="E77" s="1">
        <f>L60*(5*N60+J60)</f>
        <v>0.86686407069670623</v>
      </c>
      <c r="F77" s="1">
        <f>M60*(7*N60+J60)</f>
        <v>0.44411495298044495</v>
      </c>
    </row>
    <row r="78" spans="2:12" x14ac:dyDescent="0.25">
      <c r="B78" s="1">
        <f>N61*($D$17-$D$18)*J61</f>
        <v>9.2123064147039014E-3</v>
      </c>
      <c r="C78" s="1">
        <f>1*J61*(N61+J61)</f>
        <v>0.60150505329689008</v>
      </c>
      <c r="D78" s="1">
        <f>K61*(3*N61+J61)</f>
        <v>0.80451515989067046</v>
      </c>
      <c r="E78" s="1">
        <f>L61*(5*N61+J61)</f>
        <v>-1.0075252664844507</v>
      </c>
      <c r="F78" s="1">
        <f>M61*(7*N61+J61)</f>
        <v>-1.2105353730782313</v>
      </c>
    </row>
    <row r="79" spans="2:12" x14ac:dyDescent="0.25">
      <c r="B79" s="1">
        <f>N62*($D$17-$D$18)*J62</f>
        <v>1.6105936687655444E-2</v>
      </c>
      <c r="C79" s="1">
        <f>1*J62*(N62+J62)</f>
        <v>1.0310153516139602</v>
      </c>
      <c r="D79" s="1">
        <f>K62*(3*N62+J62)</f>
        <v>-0.57407484377355533</v>
      </c>
      <c r="E79" s="1">
        <f>L62*(5*N62+J62)</f>
        <v>-0.72108914589374429</v>
      </c>
      <c r="F79" s="1">
        <f>M62*(7*N62+J62)</f>
        <v>2.0957871177380789</v>
      </c>
    </row>
    <row r="80" spans="2:12" x14ac:dyDescent="0.25">
      <c r="B80" s="1">
        <f>N63*($D$17-$D$18)*J63</f>
        <v>2.2628722586869838E-2</v>
      </c>
      <c r="C80" s="1">
        <f>1*J63*(N63+J63)</f>
        <v>1.24933275</v>
      </c>
      <c r="D80" s="1">
        <f>K63*(3*N63+J63)</f>
        <v>-1.7479982500000002</v>
      </c>
      <c r="E80" s="1">
        <f>L63*(5*N63+J63)</f>
        <v>2.2466637500000002</v>
      </c>
      <c r="F80" s="1">
        <f>M63*(7*N63+J63)</f>
        <v>-2.7453292500000002</v>
      </c>
    </row>
    <row r="90" spans="2:18" x14ac:dyDescent="0.25">
      <c r="B90" s="13" t="s">
        <v>14</v>
      </c>
    </row>
    <row r="92" spans="2:18" ht="19.899999999999999" customHeight="1" x14ac:dyDescent="0.25">
      <c r="B92" s="26" t="s">
        <v>16</v>
      </c>
      <c r="C92" s="26"/>
      <c r="D92" s="26"/>
      <c r="E92" s="26"/>
      <c r="F92" s="11"/>
      <c r="G92" s="7"/>
      <c r="H92" s="11" t="s">
        <v>6</v>
      </c>
      <c r="R92" s="1"/>
    </row>
    <row r="93" spans="2:18" x14ac:dyDescent="0.25">
      <c r="B93" s="1">
        <f t="shared" ref="B93:E96" si="3">C77</f>
        <v>0.18897065848868602</v>
      </c>
      <c r="C93" s="1">
        <f t="shared" si="3"/>
        <v>0.66153979865533319</v>
      </c>
      <c r="D93" s="1">
        <f t="shared" si="3"/>
        <v>0.86686407069670623</v>
      </c>
      <c r="E93" s="1">
        <f t="shared" si="3"/>
        <v>0.44411495298044495</v>
      </c>
      <c r="H93" s="1">
        <f>B77</f>
        <v>3.8593602723513264E-3</v>
      </c>
      <c r="N93" s="6"/>
      <c r="R93" s="1"/>
    </row>
    <row r="94" spans="2:18" x14ac:dyDescent="0.25">
      <c r="B94" s="1">
        <f t="shared" si="3"/>
        <v>0.60150505329689008</v>
      </c>
      <c r="C94" s="1">
        <f t="shared" si="3"/>
        <v>0.80451515989067046</v>
      </c>
      <c r="D94" s="1">
        <f t="shared" si="3"/>
        <v>-1.0075252664844507</v>
      </c>
      <c r="E94" s="1">
        <f t="shared" si="3"/>
        <v>-1.2105353730782313</v>
      </c>
      <c r="H94" s="1">
        <f>B78</f>
        <v>9.2123064147039014E-3</v>
      </c>
      <c r="R94" s="1"/>
    </row>
    <row r="95" spans="2:18" x14ac:dyDescent="0.25">
      <c r="B95" s="1">
        <f t="shared" si="3"/>
        <v>1.0310153516139602</v>
      </c>
      <c r="C95" s="1">
        <f t="shared" si="3"/>
        <v>-0.57407484377355533</v>
      </c>
      <c r="D95" s="1">
        <f t="shared" si="3"/>
        <v>-0.72108914589374429</v>
      </c>
      <c r="E95" s="1">
        <f t="shared" si="3"/>
        <v>2.0957871177380789</v>
      </c>
      <c r="H95" s="1">
        <f>B79</f>
        <v>1.6105936687655444E-2</v>
      </c>
      <c r="R95" s="1"/>
    </row>
    <row r="96" spans="2:18" x14ac:dyDescent="0.25">
      <c r="B96" s="1">
        <f t="shared" si="3"/>
        <v>1.24933275</v>
      </c>
      <c r="C96" s="1">
        <f t="shared" si="3"/>
        <v>-1.7479982500000002</v>
      </c>
      <c r="D96" s="1">
        <f t="shared" si="3"/>
        <v>2.2466637500000002</v>
      </c>
      <c r="E96" s="1">
        <f t="shared" si="3"/>
        <v>-2.7453292500000002</v>
      </c>
      <c r="H96" s="1">
        <f>B80</f>
        <v>2.2628722586869838E-2</v>
      </c>
      <c r="R96" s="1"/>
    </row>
    <row r="98" spans="2:5" ht="19.149999999999999" customHeight="1" x14ac:dyDescent="0.25">
      <c r="B98" s="26" t="s">
        <v>17</v>
      </c>
      <c r="C98" s="26"/>
      <c r="D98" s="26"/>
      <c r="E98" s="26"/>
    </row>
    <row r="99" spans="2:5" x14ac:dyDescent="0.25">
      <c r="B99" s="1">
        <f t="array" ref="B99:E102">MINVERSE(B93:E96)</f>
        <v>0.35308965238144474</v>
      </c>
      <c r="C99" s="1">
        <v>0.42800382048561675</v>
      </c>
      <c r="D99" s="1">
        <v>0.42335124460992213</v>
      </c>
      <c r="E99" s="1">
        <v>0.19158092406827337</v>
      </c>
    </row>
    <row r="100" spans="2:5" x14ac:dyDescent="0.25">
      <c r="B100" s="1">
        <v>0.63091530949562058</v>
      </c>
      <c r="C100" s="1">
        <v>0.3225302638644334</v>
      </c>
      <c r="D100" s="1">
        <v>-0.1325414602818836</v>
      </c>
      <c r="E100" s="1">
        <v>-0.14133607300830195</v>
      </c>
    </row>
    <row r="101" spans="2:5" x14ac:dyDescent="0.25">
      <c r="B101" s="1">
        <v>0.50633344653470558</v>
      </c>
      <c r="C101" s="1">
        <v>-0.2353434047692021</v>
      </c>
      <c r="D101" s="1">
        <v>-9.3765691627611836E-2</v>
      </c>
      <c r="E101" s="1">
        <v>0.11410246785336384</v>
      </c>
    </row>
    <row r="102" spans="2:5" x14ac:dyDescent="0.25">
      <c r="B102" s="1">
        <v>0.17333025146320327</v>
      </c>
      <c r="C102" s="1">
        <v>-0.20318169234011166</v>
      </c>
      <c r="D102" s="1">
        <v>0.20031434659291947</v>
      </c>
      <c r="E102" s="1">
        <v>-9.3703365705285022E-2</v>
      </c>
    </row>
    <row r="105" spans="2:5" x14ac:dyDescent="0.25">
      <c r="C105" s="11" t="s">
        <v>15</v>
      </c>
    </row>
    <row r="106" spans="2:5" x14ac:dyDescent="0.25">
      <c r="B106" s="11" t="s">
        <v>19</v>
      </c>
      <c r="C106" s="1">
        <f t="array" ref="C106:C109">MMULT(B99:E102,H93:H96)</f>
        <v>1.6459302443961384E-2</v>
      </c>
    </row>
    <row r="107" spans="2:5" x14ac:dyDescent="0.25">
      <c r="B107" s="11" t="s">
        <v>20</v>
      </c>
      <c r="C107" s="1">
        <v>7.3217944008238754E-5</v>
      </c>
    </row>
    <row r="108" spans="2:5" x14ac:dyDescent="0.25">
      <c r="B108" s="11" t="s">
        <v>21</v>
      </c>
      <c r="C108" s="1">
        <v>8.5787642940765314E-4</v>
      </c>
    </row>
    <row r="109" spans="2:5" x14ac:dyDescent="0.25">
      <c r="B109" s="11" t="s">
        <v>22</v>
      </c>
      <c r="C109" s="1">
        <v>-9.6965405347731147E-5</v>
      </c>
    </row>
    <row r="115" spans="2:5" x14ac:dyDescent="0.25">
      <c r="B115" s="10" t="s">
        <v>18</v>
      </c>
      <c r="C115" s="1">
        <f>C106*C9*C11</f>
        <v>0.46537581223868507</v>
      </c>
    </row>
    <row r="116" spans="2:5" x14ac:dyDescent="0.25">
      <c r="D116" s="1" t="s">
        <v>23</v>
      </c>
    </row>
    <row r="119" spans="2:5" x14ac:dyDescent="0.25">
      <c r="B119" s="10" t="s">
        <v>36</v>
      </c>
      <c r="C119" s="1">
        <f>3*(C107/C106)^2 + 5*(C108/C106)^2 + 7*(C109/C106)^2</f>
        <v>1.3885339773380766E-2</v>
      </c>
      <c r="E119" s="1" t="s">
        <v>39</v>
      </c>
    </row>
    <row r="120" spans="2:5" x14ac:dyDescent="0.25">
      <c r="B120" s="10" t="s">
        <v>37</v>
      </c>
      <c r="C120" s="1">
        <f>1/(1+C119)</f>
        <v>0.9863048224205665</v>
      </c>
      <c r="E120" s="1" t="s">
        <v>38</v>
      </c>
    </row>
    <row r="128" spans="2:5" x14ac:dyDescent="0.25">
      <c r="B128" s="10" t="s">
        <v>40</v>
      </c>
      <c r="C128" s="1">
        <f>((C115^2)/(C9*C11))*(1+C119)</f>
        <v>7.7661196311930147E-3</v>
      </c>
    </row>
    <row r="134" spans="2:4" x14ac:dyDescent="0.25">
      <c r="B134" s="10" t="s">
        <v>41</v>
      </c>
      <c r="C134" s="1">
        <f>C115/(D17-D18)</f>
        <v>5.1277057555287113</v>
      </c>
      <c r="D134" s="1" t="s">
        <v>43</v>
      </c>
    </row>
    <row r="139" spans="2:4" x14ac:dyDescent="0.25">
      <c r="B139" s="10" t="s">
        <v>89</v>
      </c>
      <c r="C139" s="1">
        <v>4000</v>
      </c>
      <c r="D139" s="1" t="s">
        <v>2</v>
      </c>
    </row>
    <row r="140" spans="2:4" x14ac:dyDescent="0.25">
      <c r="B140" s="10" t="s">
        <v>54</v>
      </c>
      <c r="C140" s="1">
        <v>77</v>
      </c>
      <c r="D140" s="1" t="s">
        <v>44</v>
      </c>
    </row>
    <row r="141" spans="2:4" x14ac:dyDescent="0.25">
      <c r="B141" s="10" t="s">
        <v>55</v>
      </c>
      <c r="C141" s="1">
        <v>1.2250000000000001</v>
      </c>
      <c r="D141" s="1" t="s">
        <v>45</v>
      </c>
    </row>
    <row r="142" spans="2:4" x14ac:dyDescent="0.25">
      <c r="B142" s="12"/>
    </row>
    <row r="143" spans="2:4" x14ac:dyDescent="0.25">
      <c r="B143" s="12"/>
    </row>
    <row r="145" spans="2:4" x14ac:dyDescent="0.25">
      <c r="B145" s="10" t="s">
        <v>56</v>
      </c>
      <c r="C145" s="1">
        <f>0.5*C141*C140*C140*C115*C13</f>
        <v>3925.1954306468424</v>
      </c>
      <c r="D145" s="1" t="s">
        <v>2</v>
      </c>
    </row>
    <row r="146" spans="2:4" x14ac:dyDescent="0.25">
      <c r="B146" s="4"/>
    </row>
    <row r="147" spans="2:4" x14ac:dyDescent="0.25">
      <c r="B147" s="4"/>
    </row>
    <row r="148" spans="2:4" x14ac:dyDescent="0.25">
      <c r="B148" s="4"/>
    </row>
    <row r="149" spans="2:4" x14ac:dyDescent="0.25">
      <c r="B149" s="12" t="s">
        <v>57</v>
      </c>
    </row>
    <row r="150" spans="2:4" x14ac:dyDescent="0.25">
      <c r="B150" s="4"/>
    </row>
    <row r="151" spans="2:4" x14ac:dyDescent="0.25">
      <c r="B151" s="10" t="s">
        <v>58</v>
      </c>
      <c r="C151" s="1">
        <f>SQRT(C139/(0.5*C141*C115*C13))</f>
        <v>77.730252510223792</v>
      </c>
      <c r="D151" s="1" t="s">
        <v>44</v>
      </c>
    </row>
  </sheetData>
  <mergeCells count="2">
    <mergeCell ref="B92:E92"/>
    <mergeCell ref="B98:E9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4A4A6-467F-442F-8B30-7AA78D29388D}">
  <dimension ref="A2:S151"/>
  <sheetViews>
    <sheetView zoomScaleNormal="100" workbookViewId="0">
      <selection activeCell="C140" sqref="C140"/>
    </sheetView>
  </sheetViews>
  <sheetFormatPr defaultRowHeight="15" x14ac:dyDescent="0.25"/>
  <cols>
    <col min="1" max="1" width="9.140625" style="1"/>
    <col min="2" max="2" width="16.42578125" style="1" customWidth="1"/>
    <col min="3" max="3" width="14.140625" style="1" customWidth="1"/>
    <col min="4" max="4" width="12.85546875" style="1" customWidth="1"/>
    <col min="5" max="5" width="11.7109375" style="1" customWidth="1"/>
    <col min="6" max="6" width="11.140625" style="1" customWidth="1"/>
    <col min="7" max="7" width="11.7109375" style="1" customWidth="1"/>
    <col min="8" max="8" width="12.5703125" style="1" customWidth="1"/>
    <col min="9" max="10" width="14.7109375" style="1" customWidth="1"/>
    <col min="11" max="11" width="15" style="1" customWidth="1"/>
    <col min="12" max="12" width="14" style="1" customWidth="1"/>
    <col min="13" max="13" width="13.7109375" style="1" customWidth="1"/>
    <col min="14" max="14" width="16" style="1" customWidth="1"/>
    <col min="15" max="15" width="16.140625" style="1" customWidth="1"/>
    <col min="16" max="17" width="9.140625" style="1"/>
  </cols>
  <sheetData>
    <row r="2" spans="2:6" x14ac:dyDescent="0.25">
      <c r="B2" s="2"/>
      <c r="C2" s="1" t="s">
        <v>68</v>
      </c>
    </row>
    <row r="3" spans="2:6" x14ac:dyDescent="0.25">
      <c r="B3" s="3"/>
      <c r="C3" s="1" t="s">
        <v>69</v>
      </c>
    </row>
    <row r="4" spans="2:6" x14ac:dyDescent="0.25">
      <c r="B4" s="21"/>
      <c r="C4" s="1" t="s">
        <v>70</v>
      </c>
    </row>
    <row r="5" spans="2:6" x14ac:dyDescent="0.25">
      <c r="B5" s="8"/>
      <c r="C5" s="1" t="s">
        <v>53</v>
      </c>
    </row>
    <row r="6" spans="2:6" x14ac:dyDescent="0.25">
      <c r="B6" s="4"/>
    </row>
    <row r="7" spans="2:6" x14ac:dyDescent="0.25">
      <c r="B7" s="4"/>
    </row>
    <row r="9" spans="2:6" x14ac:dyDescent="0.25">
      <c r="B9" s="14" t="s">
        <v>5</v>
      </c>
      <c r="C9" s="8">
        <v>3.1415926500000002</v>
      </c>
    </row>
    <row r="11" spans="2:6" x14ac:dyDescent="0.25">
      <c r="B11" s="15" t="s">
        <v>63</v>
      </c>
      <c r="C11" s="2">
        <v>10</v>
      </c>
      <c r="F11" s="1" t="s">
        <v>3</v>
      </c>
    </row>
    <row r="12" spans="2:6" x14ac:dyDescent="0.25">
      <c r="B12" s="15" t="s">
        <v>61</v>
      </c>
      <c r="C12" s="2">
        <v>1</v>
      </c>
      <c r="F12" s="1" t="s">
        <v>85</v>
      </c>
    </row>
    <row r="13" spans="2:6" x14ac:dyDescent="0.25">
      <c r="B13" s="15" t="s">
        <v>48</v>
      </c>
      <c r="C13" s="2">
        <v>40</v>
      </c>
      <c r="F13" s="1" t="s">
        <v>84</v>
      </c>
    </row>
    <row r="14" spans="2:6" x14ac:dyDescent="0.25">
      <c r="B14" s="4"/>
      <c r="C14" s="4"/>
    </row>
    <row r="15" spans="2:6" x14ac:dyDescent="0.25">
      <c r="C15" s="9" t="s">
        <v>52</v>
      </c>
      <c r="D15" s="9" t="s">
        <v>51</v>
      </c>
    </row>
    <row r="16" spans="2:6" x14ac:dyDescent="0.25">
      <c r="B16" s="15" t="s">
        <v>42</v>
      </c>
      <c r="C16" s="2"/>
      <c r="D16" s="2">
        <f>2*C9</f>
        <v>6.2831853000000004</v>
      </c>
      <c r="F16" s="1" t="s">
        <v>4</v>
      </c>
    </row>
    <row r="17" spans="1:17" x14ac:dyDescent="0.25">
      <c r="B17" s="15" t="s">
        <v>0</v>
      </c>
      <c r="C17" s="2">
        <v>0</v>
      </c>
      <c r="D17" s="2">
        <f>RADIANS(C17)</f>
        <v>0</v>
      </c>
      <c r="F17" s="1" t="s">
        <v>46</v>
      </c>
    </row>
    <row r="18" spans="1:17" x14ac:dyDescent="0.25">
      <c r="B18" s="15" t="s">
        <v>1</v>
      </c>
      <c r="C18" s="2">
        <v>-2.13</v>
      </c>
      <c r="D18" s="2">
        <f>RADIANS(C18)</f>
        <v>-3.7175513067479217E-2</v>
      </c>
      <c r="F18" s="1" t="s">
        <v>47</v>
      </c>
      <c r="I18" s="24" t="s">
        <v>91</v>
      </c>
      <c r="J18" s="24"/>
    </row>
    <row r="20" spans="1:17" x14ac:dyDescent="0.25">
      <c r="B20" s="15" t="s">
        <v>81</v>
      </c>
      <c r="C20" s="2">
        <v>10</v>
      </c>
      <c r="D20"/>
      <c r="F20" s="1" t="s">
        <v>82</v>
      </c>
    </row>
    <row r="21" spans="1:17" x14ac:dyDescent="0.25">
      <c r="B21" s="15" t="s">
        <v>6</v>
      </c>
      <c r="C21" s="2">
        <f>C20*2</f>
        <v>20</v>
      </c>
      <c r="D21"/>
      <c r="F21" s="1" t="s">
        <v>83</v>
      </c>
    </row>
    <row r="22" spans="1:17" x14ac:dyDescent="0.25">
      <c r="B22" s="15" t="s">
        <v>7</v>
      </c>
      <c r="C22" s="2">
        <v>2</v>
      </c>
      <c r="F22" s="1" t="s">
        <v>9</v>
      </c>
    </row>
    <row r="23" spans="1:17" x14ac:dyDescent="0.25">
      <c r="B23" s="4"/>
      <c r="C23" s="4"/>
      <c r="D23" s="4"/>
    </row>
    <row r="24" spans="1:17" x14ac:dyDescent="0.25">
      <c r="B24" s="16" t="s">
        <v>8</v>
      </c>
      <c r="C24" s="5">
        <v>2</v>
      </c>
      <c r="F24" s="1" t="s">
        <v>10</v>
      </c>
    </row>
    <row r="25" spans="1:17" s="17" customFormat="1" x14ac:dyDescent="0.25">
      <c r="A25" s="4"/>
      <c r="B25" s="12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 x14ac:dyDescent="0.25">
      <c r="B26" s="19" t="s">
        <v>49</v>
      </c>
      <c r="C26" s="20">
        <f>C21*(C22+C24)/2</f>
        <v>40</v>
      </c>
      <c r="F26" s="1" t="s">
        <v>86</v>
      </c>
    </row>
    <row r="27" spans="1:17" x14ac:dyDescent="0.25">
      <c r="B27" s="19" t="s">
        <v>50</v>
      </c>
      <c r="C27" s="20">
        <f>+C24/C22</f>
        <v>1</v>
      </c>
      <c r="F27" s="1" t="s">
        <v>87</v>
      </c>
    </row>
    <row r="28" spans="1:17" x14ac:dyDescent="0.25">
      <c r="B28" s="12"/>
      <c r="C28" s="4"/>
    </row>
    <row r="29" spans="1:17" x14ac:dyDescent="0.25">
      <c r="B29" s="19" t="s">
        <v>64</v>
      </c>
      <c r="C29" s="20">
        <f>(C21)^2/(C26)</f>
        <v>10</v>
      </c>
      <c r="F29" s="1" t="s">
        <v>80</v>
      </c>
    </row>
    <row r="30" spans="1:17" x14ac:dyDescent="0.25">
      <c r="B30" s="19" t="s">
        <v>65</v>
      </c>
      <c r="C30" s="20">
        <f>(C20)^2/(0.5*C26)</f>
        <v>5</v>
      </c>
      <c r="F30" s="1" t="s">
        <v>79</v>
      </c>
    </row>
    <row r="31" spans="1:17" x14ac:dyDescent="0.25">
      <c r="B31" s="4"/>
      <c r="C31" s="4"/>
    </row>
    <row r="32" spans="1:17" x14ac:dyDescent="0.25">
      <c r="B32" s="19" t="s">
        <v>59</v>
      </c>
      <c r="C32" s="20">
        <f>C21/2</f>
        <v>10</v>
      </c>
      <c r="F32" s="1" t="s">
        <v>60</v>
      </c>
    </row>
    <row r="33" spans="2:7" x14ac:dyDescent="0.25">
      <c r="B33" s="4"/>
      <c r="C33" s="4"/>
      <c r="D33" s="4"/>
      <c r="E33" s="4"/>
      <c r="F33" s="4"/>
      <c r="G33" s="4"/>
    </row>
    <row r="34" spans="2:7" x14ac:dyDescent="0.25">
      <c r="B34" s="14" t="s">
        <v>2</v>
      </c>
      <c r="C34" s="8">
        <v>4</v>
      </c>
      <c r="F34" s="1" t="s">
        <v>62</v>
      </c>
    </row>
    <row r="49" spans="2:19" x14ac:dyDescent="0.25">
      <c r="B49" s="10" t="s">
        <v>12</v>
      </c>
      <c r="C49" s="1">
        <f>D16/(2*(1+C12)*C11)</f>
        <v>0.15707963250000001</v>
      </c>
    </row>
    <row r="50" spans="2:19" x14ac:dyDescent="0.25">
      <c r="B50" s="4"/>
    </row>
    <row r="51" spans="2:19" x14ac:dyDescent="0.25">
      <c r="B51" s="4"/>
    </row>
    <row r="52" spans="2:19" x14ac:dyDescent="0.25">
      <c r="B52" s="4"/>
    </row>
    <row r="53" spans="2:19" x14ac:dyDescent="0.25">
      <c r="B53" s="4"/>
    </row>
    <row r="54" spans="2:19" x14ac:dyDescent="0.25">
      <c r="B54" s="4"/>
    </row>
    <row r="55" spans="2:19" x14ac:dyDescent="0.25">
      <c r="B55" s="4"/>
    </row>
    <row r="56" spans="2:19" x14ac:dyDescent="0.25">
      <c r="B56" s="4"/>
    </row>
    <row r="59" spans="2:19" ht="22.15" customHeight="1" x14ac:dyDescent="0.25">
      <c r="B59" s="22" t="s">
        <v>88</v>
      </c>
      <c r="C59" s="22" t="s">
        <v>28</v>
      </c>
      <c r="D59" s="22" t="s">
        <v>28</v>
      </c>
      <c r="E59" s="22" t="s">
        <v>29</v>
      </c>
      <c r="F59" s="18" t="s">
        <v>66</v>
      </c>
      <c r="G59" s="18" t="s">
        <v>67</v>
      </c>
      <c r="H59" s="22" t="s">
        <v>35</v>
      </c>
      <c r="I59" s="22" t="s">
        <v>30</v>
      </c>
      <c r="J59" s="22" t="s">
        <v>31</v>
      </c>
      <c r="K59" s="22" t="s">
        <v>32</v>
      </c>
      <c r="L59" s="22" t="s">
        <v>33</v>
      </c>
      <c r="M59" s="22" t="s">
        <v>34</v>
      </c>
      <c r="N59" s="22" t="s">
        <v>11</v>
      </c>
      <c r="R59" s="1"/>
      <c r="S59" s="1"/>
    </row>
    <row r="60" spans="2:19" x14ac:dyDescent="0.25">
      <c r="B60" s="23">
        <v>1</v>
      </c>
      <c r="C60" s="7" t="s">
        <v>24</v>
      </c>
      <c r="D60" s="7">
        <v>22.5</v>
      </c>
      <c r="E60" s="7">
        <f>RADIANS(D60)</f>
        <v>0.39269908169872414</v>
      </c>
      <c r="F60" s="7">
        <f>($C$21)*I60</f>
        <v>18.477590650225736</v>
      </c>
      <c r="G60" s="7">
        <f>($C$20)*I60</f>
        <v>9.2387953251128678</v>
      </c>
      <c r="H60" s="7">
        <f>$C$22*(1+($C$12-1)*I60)</f>
        <v>2</v>
      </c>
      <c r="I60" s="7">
        <f>COS(E60)</f>
        <v>0.92387953251128674</v>
      </c>
      <c r="J60" s="7">
        <f>SIN(E60)</f>
        <v>0.38268343236508978</v>
      </c>
      <c r="K60" s="7">
        <f>SIN(3*E60)</f>
        <v>0.92387953251128674</v>
      </c>
      <c r="L60" s="7">
        <f>SIN(5*E60)</f>
        <v>0.92387953251128674</v>
      </c>
      <c r="M60" s="7">
        <f>SIN(7*E60)</f>
        <v>0.38268343236508989</v>
      </c>
      <c r="N60" s="7">
        <f>$C$49*(1+($C$12-1)*I60)</f>
        <v>0.15707963250000001</v>
      </c>
      <c r="R60" s="1"/>
      <c r="S60" s="1"/>
    </row>
    <row r="61" spans="2:19" x14ac:dyDescent="0.25">
      <c r="B61" s="23">
        <v>2</v>
      </c>
      <c r="C61" s="7" t="s">
        <v>25</v>
      </c>
      <c r="D61" s="7">
        <v>45</v>
      </c>
      <c r="E61" s="7">
        <f t="shared" ref="E61:E63" si="0">RADIANS(D61)</f>
        <v>0.78539816339744828</v>
      </c>
      <c r="F61" s="7">
        <f t="shared" ref="F61:F63" si="1">($C$21)*I61</f>
        <v>14.142135623730951</v>
      </c>
      <c r="G61" s="7">
        <f t="shared" ref="G61:G63" si="2">($C$20)*I61</f>
        <v>7.0710678118654755</v>
      </c>
      <c r="H61" s="7">
        <f>$C$22*(1+($C$12-1)*I61)</f>
        <v>2</v>
      </c>
      <c r="I61" s="7">
        <f>COS(E61)</f>
        <v>0.70710678118654757</v>
      </c>
      <c r="J61" s="7">
        <f>SIN(E61)</f>
        <v>0.70710678118654746</v>
      </c>
      <c r="K61" s="7">
        <f>SIN(3*E61)</f>
        <v>0.70710678118654757</v>
      </c>
      <c r="L61" s="7">
        <f>SIN(5*E61)</f>
        <v>-0.70710678118654746</v>
      </c>
      <c r="M61" s="7">
        <f>SIN(7*E61)</f>
        <v>-0.70710678118654768</v>
      </c>
      <c r="N61" s="7">
        <f>$C$49*(1+($C$12-1)*I61)</f>
        <v>0.15707963250000001</v>
      </c>
      <c r="R61" s="1"/>
      <c r="S61" s="1"/>
    </row>
    <row r="62" spans="2:19" x14ac:dyDescent="0.25">
      <c r="B62" s="23">
        <v>3</v>
      </c>
      <c r="C62" s="7" t="s">
        <v>26</v>
      </c>
      <c r="D62" s="7">
        <v>67.5</v>
      </c>
      <c r="E62" s="7">
        <f t="shared" si="0"/>
        <v>1.1780972450961724</v>
      </c>
      <c r="F62" s="7">
        <f t="shared" si="1"/>
        <v>7.6536686473017967</v>
      </c>
      <c r="G62" s="7">
        <f t="shared" si="2"/>
        <v>3.8268343236508984</v>
      </c>
      <c r="H62" s="7">
        <f>$C$22*(1+($C$12-1)*I62)</f>
        <v>2</v>
      </c>
      <c r="I62" s="7">
        <f>COS(E62)</f>
        <v>0.38268343236508984</v>
      </c>
      <c r="J62" s="7">
        <f>SIN(E62)</f>
        <v>0.92387953251128674</v>
      </c>
      <c r="K62" s="7">
        <f>SIN(3*E62)</f>
        <v>-0.38268343236508967</v>
      </c>
      <c r="L62" s="7">
        <f>SIN(5*E62)</f>
        <v>-0.38268343236509039</v>
      </c>
      <c r="M62" s="7">
        <f>SIN(7*E62)</f>
        <v>0.92387953251128674</v>
      </c>
      <c r="N62" s="7">
        <f>$C$49*(1+($C$12-1)*I62)</f>
        <v>0.15707963250000001</v>
      </c>
      <c r="R62" s="1"/>
      <c r="S62" s="1"/>
    </row>
    <row r="63" spans="2:19" x14ac:dyDescent="0.25">
      <c r="B63" s="23">
        <v>4</v>
      </c>
      <c r="C63" s="7" t="s">
        <v>27</v>
      </c>
      <c r="D63" s="7">
        <v>90</v>
      </c>
      <c r="E63" s="7">
        <f t="shared" si="0"/>
        <v>1.5707963267948966</v>
      </c>
      <c r="F63" s="7">
        <f t="shared" si="1"/>
        <v>1.22514845490862E-15</v>
      </c>
      <c r="G63" s="7">
        <f t="shared" si="2"/>
        <v>6.1257422745431001E-16</v>
      </c>
      <c r="H63" s="7">
        <f>$C$22*(1+($C$12-1)*I63)</f>
        <v>2</v>
      </c>
      <c r="I63" s="7">
        <f>COS(E63)</f>
        <v>6.1257422745431001E-17</v>
      </c>
      <c r="J63" s="7">
        <f>SIN(E63)</f>
        <v>1</v>
      </c>
      <c r="K63" s="7">
        <f>SIN(3*E63)</f>
        <v>-1</v>
      </c>
      <c r="L63" s="7">
        <f>SIN(5*E63)</f>
        <v>1</v>
      </c>
      <c r="M63" s="7">
        <f>SIN(7*E63)</f>
        <v>-1</v>
      </c>
      <c r="N63" s="7">
        <f>$C$49*(1+($C$12-1)*I63)</f>
        <v>0.15707963250000001</v>
      </c>
      <c r="R63" s="1"/>
      <c r="S63" s="1"/>
    </row>
    <row r="64" spans="2:19" x14ac:dyDescent="0.25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2:12" x14ac:dyDescent="0.25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2:12" x14ac:dyDescent="0.25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2:12" x14ac:dyDescent="0.25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2:12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2:12" x14ac:dyDescent="0.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2:12" x14ac:dyDescent="0.25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2:12" x14ac:dyDescent="0.25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2:12" x14ac:dyDescent="0.25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2:12" x14ac:dyDescent="0.25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6" spans="2:12" ht="19.899999999999999" customHeight="1" x14ac:dyDescent="0.25">
      <c r="B76" s="22" t="s">
        <v>13</v>
      </c>
      <c r="C76" s="22" t="s">
        <v>19</v>
      </c>
      <c r="D76" s="22" t="s">
        <v>20</v>
      </c>
      <c r="E76" s="22" t="s">
        <v>21</v>
      </c>
      <c r="F76" s="22" t="s">
        <v>22</v>
      </c>
    </row>
    <row r="77" spans="2:12" x14ac:dyDescent="0.25">
      <c r="B77" s="1">
        <f>N60*($D$17-$D$18)*J60</f>
        <v>2.2346859996873946E-3</v>
      </c>
      <c r="C77" s="1">
        <f>1*J60*(N60+J60)</f>
        <v>0.20655838232647314</v>
      </c>
      <c r="D77" s="1">
        <f>K60*(3*N60+J60)</f>
        <v>0.78892136291670789</v>
      </c>
      <c r="E77" s="1">
        <f>L60*(5*N60+J60)</f>
        <v>1.0791666777989974</v>
      </c>
      <c r="F77" s="1">
        <f>M60*(7*N60+J60)</f>
        <v>0.56722901984495488</v>
      </c>
    </row>
    <row r="78" spans="2:12" x14ac:dyDescent="0.25">
      <c r="B78" s="1">
        <f>N61*($D$17-$D$18)*J61</f>
        <v>4.1291613134014152E-3</v>
      </c>
      <c r="C78" s="1">
        <f>1*J61*(N61+J61)</f>
        <v>0.61107207332704072</v>
      </c>
      <c r="D78" s="1">
        <f>K61*(3*N61+J61)</f>
        <v>0.8332162199811225</v>
      </c>
      <c r="E78" s="1">
        <f>L61*(5*N61+J61)</f>
        <v>-1.0553603666352038</v>
      </c>
      <c r="F78" s="1">
        <f>M61*(7*N61+J61)</f>
        <v>-1.2775045132892859</v>
      </c>
    </row>
    <row r="79" spans="2:12" x14ac:dyDescent="0.25">
      <c r="B79" s="1">
        <f>N62*($D$17-$D$18)*J62</f>
        <v>5.3950092480905864E-3</v>
      </c>
      <c r="C79" s="1">
        <f>1*J62*(N62+J62)</f>
        <v>0.99867604803441856</v>
      </c>
      <c r="D79" s="1">
        <f>K62*(3*N62+J62)</f>
        <v>-0.53388870935251431</v>
      </c>
      <c r="E79" s="1">
        <f>L62*(5*N62+J62)</f>
        <v>-0.65411225519200944</v>
      </c>
      <c r="F79" s="1">
        <f>M62*(7*N62+J62)</f>
        <v>1.8694119926812867</v>
      </c>
    </row>
    <row r="80" spans="2:12" x14ac:dyDescent="0.25">
      <c r="B80" s="1">
        <f>N63*($D$17-$D$18)*J63</f>
        <v>5.8395159306385835E-3</v>
      </c>
      <c r="C80" s="1">
        <f>1*J63*(N63+J63)</f>
        <v>1.1570796324999999</v>
      </c>
      <c r="D80" s="1">
        <f>K63*(3*N63+J63)</f>
        <v>-1.4712388975000001</v>
      </c>
      <c r="E80" s="1">
        <f>L63*(5*N63+J63)</f>
        <v>1.7853981624999999</v>
      </c>
      <c r="F80" s="1">
        <f>M63*(7*N63+J63)</f>
        <v>-2.0995574275000002</v>
      </c>
    </row>
    <row r="90" spans="2:18" x14ac:dyDescent="0.25">
      <c r="B90" s="13" t="s">
        <v>14</v>
      </c>
    </row>
    <row r="92" spans="2:18" ht="19.899999999999999" customHeight="1" x14ac:dyDescent="0.25">
      <c r="B92" s="26" t="s">
        <v>16</v>
      </c>
      <c r="C92" s="26"/>
      <c r="D92" s="26"/>
      <c r="E92" s="26"/>
      <c r="F92" s="22"/>
      <c r="G92" s="7"/>
      <c r="H92" s="22" t="s">
        <v>6</v>
      </c>
      <c r="R92" s="1"/>
    </row>
    <row r="93" spans="2:18" x14ac:dyDescent="0.25">
      <c r="B93" s="1">
        <f t="shared" ref="B93:E96" si="3">C77</f>
        <v>0.20655838232647314</v>
      </c>
      <c r="C93" s="1">
        <f t="shared" si="3"/>
        <v>0.78892136291670789</v>
      </c>
      <c r="D93" s="1">
        <f t="shared" si="3"/>
        <v>1.0791666777989974</v>
      </c>
      <c r="E93" s="1">
        <f t="shared" si="3"/>
        <v>0.56722901984495488</v>
      </c>
      <c r="H93" s="1">
        <f>B77</f>
        <v>2.2346859996873946E-3</v>
      </c>
      <c r="N93" s="6"/>
      <c r="R93" s="1"/>
    </row>
    <row r="94" spans="2:18" x14ac:dyDescent="0.25">
      <c r="B94" s="1">
        <f t="shared" si="3"/>
        <v>0.61107207332704072</v>
      </c>
      <c r="C94" s="1">
        <f t="shared" si="3"/>
        <v>0.8332162199811225</v>
      </c>
      <c r="D94" s="1">
        <f t="shared" si="3"/>
        <v>-1.0553603666352038</v>
      </c>
      <c r="E94" s="1">
        <f t="shared" si="3"/>
        <v>-1.2775045132892859</v>
      </c>
      <c r="H94" s="1">
        <f>B78</f>
        <v>4.1291613134014152E-3</v>
      </c>
      <c r="R94" s="1"/>
    </row>
    <row r="95" spans="2:18" x14ac:dyDescent="0.25">
      <c r="B95" s="1">
        <f t="shared" si="3"/>
        <v>0.99867604803441856</v>
      </c>
      <c r="C95" s="1">
        <f t="shared" si="3"/>
        <v>-0.53388870935251431</v>
      </c>
      <c r="D95" s="1">
        <f t="shared" si="3"/>
        <v>-0.65411225519200944</v>
      </c>
      <c r="E95" s="1">
        <f t="shared" si="3"/>
        <v>1.8694119926812867</v>
      </c>
      <c r="H95" s="1">
        <f>B79</f>
        <v>5.3950092480905864E-3</v>
      </c>
      <c r="R95" s="1"/>
    </row>
    <row r="96" spans="2:18" x14ac:dyDescent="0.25">
      <c r="B96" s="1">
        <f t="shared" si="3"/>
        <v>1.1570796324999999</v>
      </c>
      <c r="C96" s="1">
        <f t="shared" si="3"/>
        <v>-1.4712388975000001</v>
      </c>
      <c r="D96" s="1">
        <f t="shared" si="3"/>
        <v>1.7853981624999999</v>
      </c>
      <c r="E96" s="1">
        <f t="shared" si="3"/>
        <v>-2.0995574275000002</v>
      </c>
      <c r="H96" s="1">
        <f>B80</f>
        <v>5.8395159306385835E-3</v>
      </c>
      <c r="R96" s="1"/>
    </row>
    <row r="98" spans="2:5" ht="19.149999999999999" customHeight="1" x14ac:dyDescent="0.25">
      <c r="B98" s="26" t="s">
        <v>17</v>
      </c>
      <c r="C98" s="26"/>
      <c r="D98" s="26"/>
      <c r="E98" s="26"/>
    </row>
    <row r="99" spans="2:5" x14ac:dyDescent="0.25">
      <c r="B99" s="1">
        <f t="array" ref="B99:E102">MINVERSE(B93:E96)</f>
        <v>0.28839805041593758</v>
      </c>
      <c r="C99" s="1">
        <v>0.40137338578852205</v>
      </c>
      <c r="D99" s="1">
        <v>0.43746894341382186</v>
      </c>
      <c r="E99" s="1">
        <v>0.22320947963067764</v>
      </c>
    </row>
    <row r="100" spans="2:5" x14ac:dyDescent="0.25">
      <c r="B100" s="1">
        <v>0.52664629666831508</v>
      </c>
      <c r="C100" s="1">
        <v>0.33175071809106438</v>
      </c>
      <c r="D100" s="1">
        <v>-0.1195572496295966</v>
      </c>
      <c r="E100" s="1">
        <v>-0.16602819655606238</v>
      </c>
    </row>
    <row r="101" spans="2:5" x14ac:dyDescent="0.25">
      <c r="B101" s="1">
        <v>0.41249722126492561</v>
      </c>
      <c r="C101" s="1">
        <v>-0.21660884891948312</v>
      </c>
      <c r="D101" s="1">
        <v>-0.11547553754814457</v>
      </c>
      <c r="E101" s="1">
        <v>0.14042379503624622</v>
      </c>
    </row>
    <row r="102" spans="2:5" x14ac:dyDescent="0.25">
      <c r="B102" s="1">
        <v>0.14067191986297492</v>
      </c>
      <c r="C102" s="1">
        <v>-0.19546816222903832</v>
      </c>
      <c r="D102" s="1">
        <v>0.22667342251416037</v>
      </c>
      <c r="E102" s="1">
        <v>-0.11752444949704727</v>
      </c>
    </row>
    <row r="105" spans="2:5" x14ac:dyDescent="0.25">
      <c r="C105" s="22" t="s">
        <v>15</v>
      </c>
    </row>
    <row r="106" spans="2:5" x14ac:dyDescent="0.25">
      <c r="B106" s="22" t="s">
        <v>19</v>
      </c>
      <c r="C106" s="1">
        <f t="array" ref="C106:C109">MMULT(B99:E102,H93:H96)</f>
        <v>5.965398850071418E-3</v>
      </c>
    </row>
    <row r="107" spans="2:5" x14ac:dyDescent="0.25">
      <c r="B107" s="22" t="s">
        <v>20</v>
      </c>
      <c r="C107" s="1">
        <v>9.3220457063439136E-4</v>
      </c>
    </row>
    <row r="108" spans="2:5" x14ac:dyDescent="0.25">
      <c r="B108" s="22" t="s">
        <v>21</v>
      </c>
      <c r="C108" s="1">
        <v>2.2440428132635651E-4</v>
      </c>
    </row>
    <row r="109" spans="2:5" x14ac:dyDescent="0.25">
      <c r="B109" s="22" t="s">
        <v>22</v>
      </c>
      <c r="C109" s="1">
        <v>4.3857312071823255E-5</v>
      </c>
    </row>
    <row r="115" spans="2:5" x14ac:dyDescent="0.25">
      <c r="B115" s="10" t="s">
        <v>18</v>
      </c>
      <c r="C115" s="1">
        <f>C106*C9*C11</f>
        <v>0.18740853181702821</v>
      </c>
    </row>
    <row r="116" spans="2:5" x14ac:dyDescent="0.25">
      <c r="D116" s="1" t="s">
        <v>23</v>
      </c>
    </row>
    <row r="119" spans="2:5" x14ac:dyDescent="0.25">
      <c r="B119" s="10" t="s">
        <v>36</v>
      </c>
      <c r="C119" s="1">
        <f>3*(C107/C106)^2 + 5*(C108/C106)^2 + 7*(C109/C106)^2</f>
        <v>8.0713428743255752E-2</v>
      </c>
      <c r="E119" s="1" t="s">
        <v>39</v>
      </c>
    </row>
    <row r="120" spans="2:5" x14ac:dyDescent="0.25">
      <c r="B120" s="10" t="s">
        <v>37</v>
      </c>
      <c r="C120" s="1">
        <f>1/(1+C119)</f>
        <v>0.92531467954727264</v>
      </c>
      <c r="E120" s="1" t="s">
        <v>38</v>
      </c>
    </row>
    <row r="128" spans="2:5" x14ac:dyDescent="0.25">
      <c r="B128" s="10" t="s">
        <v>40</v>
      </c>
      <c r="C128" s="1">
        <f>((C115^2)/(C9*C11))*(1+C119)</f>
        <v>1.2082015609455789E-3</v>
      </c>
    </row>
    <row r="134" spans="2:4" x14ac:dyDescent="0.25">
      <c r="B134" s="10" t="s">
        <v>41</v>
      </c>
      <c r="C134" s="1">
        <f>C115/(D17-D18)</f>
        <v>5.041182121060527</v>
      </c>
      <c r="D134" s="1" t="s">
        <v>43</v>
      </c>
    </row>
    <row r="139" spans="2:4" x14ac:dyDescent="0.25">
      <c r="B139" s="10" t="s">
        <v>89</v>
      </c>
      <c r="C139" s="1">
        <v>10000</v>
      </c>
      <c r="D139" s="1" t="s">
        <v>2</v>
      </c>
    </row>
    <row r="140" spans="2:4" x14ac:dyDescent="0.25">
      <c r="B140" s="10" t="s">
        <v>54</v>
      </c>
      <c r="C140" s="1">
        <v>50</v>
      </c>
      <c r="D140" s="1" t="s">
        <v>44</v>
      </c>
    </row>
    <row r="141" spans="2:4" x14ac:dyDescent="0.25">
      <c r="B141" s="10" t="s">
        <v>55</v>
      </c>
      <c r="C141" s="1">
        <v>1.2250000000000001</v>
      </c>
      <c r="D141" s="1" t="s">
        <v>45</v>
      </c>
    </row>
    <row r="142" spans="2:4" x14ac:dyDescent="0.25">
      <c r="B142" s="12"/>
    </row>
    <row r="143" spans="2:4" x14ac:dyDescent="0.25">
      <c r="B143" s="12"/>
    </row>
    <row r="145" spans="2:4" x14ac:dyDescent="0.25">
      <c r="B145" s="10" t="s">
        <v>56</v>
      </c>
      <c r="C145" s="1">
        <f>0.5*C141*C140*C140*C115*C13</f>
        <v>11478.77257379298</v>
      </c>
      <c r="D145" s="1" t="s">
        <v>2</v>
      </c>
    </row>
    <row r="146" spans="2:4" x14ac:dyDescent="0.25">
      <c r="B146" s="4"/>
    </row>
    <row r="147" spans="2:4" x14ac:dyDescent="0.25">
      <c r="B147" s="4"/>
    </row>
    <row r="148" spans="2:4" x14ac:dyDescent="0.25">
      <c r="B148" s="4"/>
    </row>
    <row r="149" spans="2:4" x14ac:dyDescent="0.25">
      <c r="B149" s="12" t="s">
        <v>57</v>
      </c>
    </row>
    <row r="150" spans="2:4" x14ac:dyDescent="0.25">
      <c r="B150" s="4"/>
    </row>
    <row r="151" spans="2:4" x14ac:dyDescent="0.25">
      <c r="B151" s="10" t="s">
        <v>58</v>
      </c>
      <c r="C151" s="1">
        <f>SQRT(C139/(0.5*C141*C115*C13))</f>
        <v>46.668331983590299</v>
      </c>
      <c r="D151" s="1" t="s">
        <v>44</v>
      </c>
    </row>
  </sheetData>
  <mergeCells count="2">
    <mergeCell ref="B92:E92"/>
    <mergeCell ref="B98:E9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F427D-E437-472B-9F24-1D21C4D3F5C7}">
  <dimension ref="A2:S151"/>
  <sheetViews>
    <sheetView tabSelected="1" workbookViewId="0">
      <selection sqref="A1:XFD1048576"/>
    </sheetView>
  </sheetViews>
  <sheetFormatPr defaultRowHeight="15" x14ac:dyDescent="0.25"/>
  <cols>
    <col min="1" max="1" width="9.140625" style="1"/>
    <col min="2" max="2" width="16.42578125" style="1" customWidth="1"/>
    <col min="3" max="3" width="14.140625" style="1" customWidth="1"/>
    <col min="4" max="4" width="12.85546875" style="1" customWidth="1"/>
    <col min="5" max="5" width="11.7109375" style="1" customWidth="1"/>
    <col min="6" max="6" width="11.140625" style="1" customWidth="1"/>
    <col min="7" max="7" width="11.7109375" style="1" customWidth="1"/>
    <col min="8" max="8" width="12.5703125" style="1" customWidth="1"/>
    <col min="9" max="10" width="14.7109375" style="1" customWidth="1"/>
    <col min="11" max="11" width="15" style="1" customWidth="1"/>
    <col min="12" max="12" width="14" style="1" customWidth="1"/>
    <col min="13" max="13" width="13.7109375" style="1" customWidth="1"/>
    <col min="14" max="14" width="16" style="1" customWidth="1"/>
    <col min="15" max="15" width="16.140625" style="1" customWidth="1"/>
    <col min="16" max="17" width="9.140625" style="1"/>
  </cols>
  <sheetData>
    <row r="2" spans="2:6" x14ac:dyDescent="0.25">
      <c r="B2" s="2"/>
      <c r="C2" s="1" t="s">
        <v>68</v>
      </c>
    </row>
    <row r="3" spans="2:6" x14ac:dyDescent="0.25">
      <c r="B3" s="3"/>
      <c r="C3" s="1" t="s">
        <v>69</v>
      </c>
    </row>
    <row r="4" spans="2:6" x14ac:dyDescent="0.25">
      <c r="B4" s="21"/>
      <c r="C4" s="1" t="s">
        <v>70</v>
      </c>
    </row>
    <row r="5" spans="2:6" x14ac:dyDescent="0.25">
      <c r="B5" s="8"/>
      <c r="C5" s="1" t="s">
        <v>53</v>
      </c>
    </row>
    <row r="9" spans="2:6" x14ac:dyDescent="0.25">
      <c r="B9" s="14" t="s">
        <v>5</v>
      </c>
      <c r="C9" s="8">
        <v>3.1415926500000002</v>
      </c>
    </row>
    <row r="11" spans="2:6" x14ac:dyDescent="0.25">
      <c r="B11" s="15" t="s">
        <v>63</v>
      </c>
      <c r="C11" s="2">
        <v>5.75</v>
      </c>
      <c r="F11" s="1" t="s">
        <v>3</v>
      </c>
    </row>
    <row r="12" spans="2:6" x14ac:dyDescent="0.25">
      <c r="B12" s="15" t="s">
        <v>61</v>
      </c>
      <c r="C12" s="2">
        <v>1</v>
      </c>
      <c r="F12" s="1" t="s">
        <v>85</v>
      </c>
    </row>
    <row r="13" spans="2:6" x14ac:dyDescent="0.25">
      <c r="B13" s="15" t="s">
        <v>48</v>
      </c>
      <c r="C13" s="2">
        <v>14.72</v>
      </c>
      <c r="F13" s="1" t="s">
        <v>84</v>
      </c>
    </row>
    <row r="15" spans="2:6" x14ac:dyDescent="0.25">
      <c r="C15" s="9" t="s">
        <v>52</v>
      </c>
      <c r="D15" s="9" t="s">
        <v>51</v>
      </c>
    </row>
    <row r="16" spans="2:6" x14ac:dyDescent="0.25">
      <c r="B16" s="15" t="s">
        <v>42</v>
      </c>
      <c r="C16" s="2"/>
      <c r="D16" s="2">
        <f>2*C9</f>
        <v>6.2831853000000004</v>
      </c>
      <c r="F16" s="1" t="s">
        <v>4</v>
      </c>
    </row>
    <row r="17" spans="2:10" x14ac:dyDescent="0.25">
      <c r="B17" s="15" t="s">
        <v>0</v>
      </c>
      <c r="C17" s="2">
        <v>2</v>
      </c>
      <c r="D17" s="2">
        <f>RADIANS(C17)</f>
        <v>3.4906585039886591E-2</v>
      </c>
      <c r="F17" s="1" t="s">
        <v>46</v>
      </c>
    </row>
    <row r="18" spans="2:10" x14ac:dyDescent="0.25">
      <c r="B18" s="15" t="s">
        <v>1</v>
      </c>
      <c r="C18" s="2">
        <v>-3.2</v>
      </c>
      <c r="D18" s="2">
        <f>RADIANS(C18)</f>
        <v>-5.5850536063818547E-2</v>
      </c>
      <c r="F18" s="1" t="s">
        <v>47</v>
      </c>
      <c r="I18" s="24" t="s">
        <v>93</v>
      </c>
      <c r="J18" s="24"/>
    </row>
    <row r="20" spans="2:10" x14ac:dyDescent="0.25">
      <c r="B20" s="15" t="s">
        <v>81</v>
      </c>
      <c r="C20" s="2">
        <f>C21/2</f>
        <v>4.5999999999999996</v>
      </c>
      <c r="D20"/>
      <c r="F20" s="1" t="s">
        <v>82</v>
      </c>
    </row>
    <row r="21" spans="2:10" x14ac:dyDescent="0.25">
      <c r="B21" s="15" t="s">
        <v>6</v>
      </c>
      <c r="C21" s="2">
        <v>9.1999999999999993</v>
      </c>
      <c r="D21"/>
      <c r="F21" s="1" t="s">
        <v>83</v>
      </c>
    </row>
    <row r="22" spans="2:10" x14ac:dyDescent="0.25">
      <c r="B22" s="15" t="s">
        <v>7</v>
      </c>
      <c r="C22" s="2">
        <v>1.6</v>
      </c>
      <c r="F22" s="1" t="s">
        <v>9</v>
      </c>
    </row>
    <row r="24" spans="2:10" x14ac:dyDescent="0.25">
      <c r="B24" s="16" t="s">
        <v>8</v>
      </c>
      <c r="C24" s="5">
        <v>1.6</v>
      </c>
      <c r="F24" s="1" t="s">
        <v>10</v>
      </c>
    </row>
    <row r="25" spans="2:10" x14ac:dyDescent="0.25">
      <c r="B25" s="13"/>
    </row>
    <row r="26" spans="2:10" x14ac:dyDescent="0.25">
      <c r="B26" s="19" t="s">
        <v>49</v>
      </c>
      <c r="C26" s="20">
        <f>C21*(C22+C24)/2</f>
        <v>14.719999999999999</v>
      </c>
      <c r="F26" s="1" t="s">
        <v>86</v>
      </c>
    </row>
    <row r="27" spans="2:10" x14ac:dyDescent="0.25">
      <c r="B27" s="19" t="s">
        <v>50</v>
      </c>
      <c r="C27" s="20">
        <f>+C24/C22</f>
        <v>1</v>
      </c>
      <c r="F27" s="1" t="s">
        <v>87</v>
      </c>
    </row>
    <row r="28" spans="2:10" x14ac:dyDescent="0.25">
      <c r="B28" s="13"/>
    </row>
    <row r="29" spans="2:10" x14ac:dyDescent="0.25">
      <c r="B29" s="19" t="s">
        <v>64</v>
      </c>
      <c r="C29" s="20">
        <f>(C21)^2/(C26)</f>
        <v>5.7499999999999991</v>
      </c>
      <c r="F29" s="1" t="s">
        <v>80</v>
      </c>
    </row>
    <row r="30" spans="2:10" x14ac:dyDescent="0.25">
      <c r="B30" s="19" t="s">
        <v>65</v>
      </c>
      <c r="C30" s="20">
        <f>(C20)^2/(0.5*C26)</f>
        <v>2.8749999999999996</v>
      </c>
      <c r="F30" s="1" t="s">
        <v>79</v>
      </c>
    </row>
    <row r="32" spans="2:10" x14ac:dyDescent="0.25">
      <c r="B32" s="19" t="s">
        <v>59</v>
      </c>
      <c r="C32" s="20">
        <f>C21/2</f>
        <v>4.5999999999999996</v>
      </c>
      <c r="F32" s="1" t="s">
        <v>60</v>
      </c>
    </row>
    <row r="34" spans="2:6" x14ac:dyDescent="0.25">
      <c r="B34" s="14" t="s">
        <v>2</v>
      </c>
      <c r="C34" s="8">
        <v>4</v>
      </c>
      <c r="F34" s="1" t="s">
        <v>62</v>
      </c>
    </row>
    <row r="49" spans="2:19" x14ac:dyDescent="0.25">
      <c r="B49" s="10" t="s">
        <v>12</v>
      </c>
      <c r="C49" s="1">
        <f>D16/(2*(1+C12)*C11)</f>
        <v>0.2731819695652174</v>
      </c>
    </row>
    <row r="59" spans="2:19" ht="22.15" customHeight="1" x14ac:dyDescent="0.25">
      <c r="B59" s="25" t="s">
        <v>88</v>
      </c>
      <c r="C59" s="25" t="s">
        <v>28</v>
      </c>
      <c r="D59" s="25" t="s">
        <v>28</v>
      </c>
      <c r="E59" s="25" t="s">
        <v>29</v>
      </c>
      <c r="F59" s="18" t="s">
        <v>66</v>
      </c>
      <c r="G59" s="18" t="s">
        <v>67</v>
      </c>
      <c r="H59" s="25" t="s">
        <v>35</v>
      </c>
      <c r="I59" s="25" t="s">
        <v>30</v>
      </c>
      <c r="J59" s="25" t="s">
        <v>31</v>
      </c>
      <c r="K59" s="25" t="s">
        <v>32</v>
      </c>
      <c r="L59" s="25" t="s">
        <v>33</v>
      </c>
      <c r="M59" s="25" t="s">
        <v>34</v>
      </c>
      <c r="N59" s="25" t="s">
        <v>11</v>
      </c>
      <c r="R59" s="1"/>
      <c r="S59" s="1"/>
    </row>
    <row r="60" spans="2:19" x14ac:dyDescent="0.25">
      <c r="B60" s="23">
        <v>1</v>
      </c>
      <c r="C60" s="7" t="s">
        <v>24</v>
      </c>
      <c r="D60" s="7">
        <v>22.5</v>
      </c>
      <c r="E60" s="7">
        <f>RADIANS(D60)</f>
        <v>0.39269908169872414</v>
      </c>
      <c r="F60" s="7">
        <f>($C$21)*I60</f>
        <v>8.4996916991038365</v>
      </c>
      <c r="G60" s="7">
        <f>($C$20)*I60</f>
        <v>4.2498458495519182</v>
      </c>
      <c r="H60" s="7">
        <f>$C$22*(1+($C$12-1)*I60)</f>
        <v>1.6</v>
      </c>
      <c r="I60" s="7">
        <f>COS(E60)</f>
        <v>0.92387953251128674</v>
      </c>
      <c r="J60" s="7">
        <f>SIN(E60)</f>
        <v>0.38268343236508978</v>
      </c>
      <c r="K60" s="7">
        <f>SIN(3*E60)</f>
        <v>0.92387953251128674</v>
      </c>
      <c r="L60" s="7">
        <f>SIN(5*E60)</f>
        <v>0.92387953251128674</v>
      </c>
      <c r="M60" s="7">
        <f>SIN(7*E60)</f>
        <v>0.38268343236508989</v>
      </c>
      <c r="N60" s="7">
        <f>$C$49*(1+($C$12-1)*I60)</f>
        <v>0.2731819695652174</v>
      </c>
      <c r="R60" s="1"/>
      <c r="S60" s="1"/>
    </row>
    <row r="61" spans="2:19" x14ac:dyDescent="0.25">
      <c r="B61" s="23">
        <v>2</v>
      </c>
      <c r="C61" s="7" t="s">
        <v>25</v>
      </c>
      <c r="D61" s="7">
        <v>45</v>
      </c>
      <c r="E61" s="7">
        <f t="shared" ref="E61:E63" si="0">RADIANS(D61)</f>
        <v>0.78539816339744828</v>
      </c>
      <c r="F61" s="7">
        <f t="shared" ref="F61:F63" si="1">($C$21)*I61</f>
        <v>6.5053823869162368</v>
      </c>
      <c r="G61" s="7">
        <f t="shared" ref="G61:G63" si="2">($C$20)*I61</f>
        <v>3.2526911934581184</v>
      </c>
      <c r="H61" s="7">
        <f>$C$22*(1+($C$12-1)*I61)</f>
        <v>1.6</v>
      </c>
      <c r="I61" s="7">
        <f>COS(E61)</f>
        <v>0.70710678118654757</v>
      </c>
      <c r="J61" s="7">
        <f>SIN(E61)</f>
        <v>0.70710678118654746</v>
      </c>
      <c r="K61" s="7">
        <f>SIN(3*E61)</f>
        <v>0.70710678118654757</v>
      </c>
      <c r="L61" s="7">
        <f>SIN(5*E61)</f>
        <v>-0.70710678118654746</v>
      </c>
      <c r="M61" s="7">
        <f>SIN(7*E61)</f>
        <v>-0.70710678118654768</v>
      </c>
      <c r="N61" s="7">
        <f>$C$49*(1+($C$12-1)*I61)</f>
        <v>0.2731819695652174</v>
      </c>
      <c r="R61" s="1"/>
      <c r="S61" s="1"/>
    </row>
    <row r="62" spans="2:19" x14ac:dyDescent="0.25">
      <c r="B62" s="23">
        <v>3</v>
      </c>
      <c r="C62" s="7" t="s">
        <v>26</v>
      </c>
      <c r="D62" s="7">
        <v>67.5</v>
      </c>
      <c r="E62" s="7">
        <f t="shared" si="0"/>
        <v>1.1780972450961724</v>
      </c>
      <c r="F62" s="7">
        <f t="shared" si="1"/>
        <v>3.5206875777588262</v>
      </c>
      <c r="G62" s="7">
        <f t="shared" si="2"/>
        <v>1.7603437888794131</v>
      </c>
      <c r="H62" s="7">
        <f>$C$22*(1+($C$12-1)*I62)</f>
        <v>1.6</v>
      </c>
      <c r="I62" s="7">
        <f>COS(E62)</f>
        <v>0.38268343236508984</v>
      </c>
      <c r="J62" s="7">
        <f>SIN(E62)</f>
        <v>0.92387953251128674</v>
      </c>
      <c r="K62" s="7">
        <f>SIN(3*E62)</f>
        <v>-0.38268343236508967</v>
      </c>
      <c r="L62" s="7">
        <f>SIN(5*E62)</f>
        <v>-0.38268343236509039</v>
      </c>
      <c r="M62" s="7">
        <f>SIN(7*E62)</f>
        <v>0.92387953251128674</v>
      </c>
      <c r="N62" s="7">
        <f>$C$49*(1+($C$12-1)*I62)</f>
        <v>0.2731819695652174</v>
      </c>
      <c r="R62" s="1"/>
      <c r="S62" s="1"/>
    </row>
    <row r="63" spans="2:19" x14ac:dyDescent="0.25">
      <c r="B63" s="23">
        <v>4</v>
      </c>
      <c r="C63" s="7" t="s">
        <v>27</v>
      </c>
      <c r="D63" s="7">
        <v>90</v>
      </c>
      <c r="E63" s="7">
        <f t="shared" si="0"/>
        <v>1.5707963267948966</v>
      </c>
      <c r="F63" s="7">
        <f t="shared" si="1"/>
        <v>5.635682892579652E-16</v>
      </c>
      <c r="G63" s="7">
        <f t="shared" si="2"/>
        <v>2.817841446289826E-16</v>
      </c>
      <c r="H63" s="7">
        <f>$C$22*(1+($C$12-1)*I63)</f>
        <v>1.6</v>
      </c>
      <c r="I63" s="7">
        <f>COS(E63)</f>
        <v>6.1257422745431001E-17</v>
      </c>
      <c r="J63" s="7">
        <f>SIN(E63)</f>
        <v>1</v>
      </c>
      <c r="K63" s="7">
        <f>SIN(3*E63)</f>
        <v>-1</v>
      </c>
      <c r="L63" s="7">
        <f>SIN(5*E63)</f>
        <v>1</v>
      </c>
      <c r="M63" s="7">
        <f>SIN(7*E63)</f>
        <v>-1</v>
      </c>
      <c r="N63" s="7">
        <f>$C$49*(1+($C$12-1)*I63)</f>
        <v>0.2731819695652174</v>
      </c>
      <c r="R63" s="1"/>
      <c r="S63" s="1"/>
    </row>
    <row r="64" spans="2:19" x14ac:dyDescent="0.25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2:12" x14ac:dyDescent="0.25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2:12" x14ac:dyDescent="0.25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2:12" x14ac:dyDescent="0.25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2:12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2:12" x14ac:dyDescent="0.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2:12" x14ac:dyDescent="0.25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2:12" x14ac:dyDescent="0.25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2:12" x14ac:dyDescent="0.25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2:12" x14ac:dyDescent="0.25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6" spans="2:12" ht="19.899999999999999" customHeight="1" x14ac:dyDescent="0.25">
      <c r="B76" s="25" t="s">
        <v>13</v>
      </c>
      <c r="C76" s="25" t="s">
        <v>19</v>
      </c>
      <c r="D76" s="25" t="s">
        <v>20</v>
      </c>
      <c r="E76" s="25" t="s">
        <v>21</v>
      </c>
      <c r="F76" s="25" t="s">
        <v>22</v>
      </c>
    </row>
    <row r="77" spans="2:12" x14ac:dyDescent="0.25">
      <c r="B77" s="1">
        <f>N60*($D$17-$D$18)*J60</f>
        <v>9.4879503558885098E-3</v>
      </c>
      <c r="C77" s="1">
        <f>1*J60*(N60+J60)</f>
        <v>0.25098882318019911</v>
      </c>
      <c r="D77" s="1">
        <f>K60*(3*N60+J60)</f>
        <v>1.1107150815905507</v>
      </c>
      <c r="E77" s="1">
        <f>L60*(5*N60+J60)</f>
        <v>1.6154895422554019</v>
      </c>
      <c r="F77" s="1">
        <f>M60*(7*N60+J60)</f>
        <v>0.87824210582103679</v>
      </c>
    </row>
    <row r="78" spans="2:12" x14ac:dyDescent="0.25">
      <c r="B78" s="1">
        <f>N61*($D$17-$D$18)*J61</f>
        <v>1.7531446278577143E-2</v>
      </c>
      <c r="C78" s="1">
        <f>1*J61*(N61+J61)</f>
        <v>0.69316882317746209</v>
      </c>
      <c r="D78" s="1">
        <f>K61*(3*N61+J61)</f>
        <v>1.0795064695323868</v>
      </c>
      <c r="E78" s="1">
        <f>L61*(5*N61+J61)</f>
        <v>-1.465844115887311</v>
      </c>
      <c r="F78" s="1">
        <f>M61*(7*N61+J61)</f>
        <v>-1.8521817622422361</v>
      </c>
    </row>
    <row r="79" spans="2:12" x14ac:dyDescent="0.25">
      <c r="B79" s="1">
        <f>N62*($D$17-$D$18)*J62</f>
        <v>2.2905938428308674E-2</v>
      </c>
      <c r="C79" s="1">
        <f>1*J62*(N62+J62)</f>
        <v>1.1059406209256992</v>
      </c>
      <c r="D79" s="1">
        <f>K62*(3*N62+J62)</f>
        <v>-0.66718003191369224</v>
      </c>
      <c r="E79" s="1">
        <f>L62*(5*N62+J62)</f>
        <v>-0.87626445946063969</v>
      </c>
      <c r="F79" s="1">
        <f>M62*(7*N62+J62)</f>
        <v>2.6202640029202531</v>
      </c>
    </row>
    <row r="80" spans="2:12" x14ac:dyDescent="0.25">
      <c r="B80" s="1">
        <f>N63*($D$17-$D$18)*J63</f>
        <v>2.4793209095179125E-2</v>
      </c>
      <c r="C80" s="1">
        <f>1*J63*(N63+J63)</f>
        <v>1.2731819695652173</v>
      </c>
      <c r="D80" s="1">
        <f>K63*(3*N63+J63)</f>
        <v>-1.8195459086956522</v>
      </c>
      <c r="E80" s="1">
        <f>L63*(5*N63+J63)</f>
        <v>2.3659098478260869</v>
      </c>
      <c r="F80" s="1">
        <f>M63*(7*N63+J63)</f>
        <v>-2.9122737869565221</v>
      </c>
    </row>
    <row r="90" spans="2:18" x14ac:dyDescent="0.25">
      <c r="B90" s="13" t="s">
        <v>14</v>
      </c>
    </row>
    <row r="92" spans="2:18" ht="19.899999999999999" customHeight="1" x14ac:dyDescent="0.25">
      <c r="B92" s="26" t="s">
        <v>16</v>
      </c>
      <c r="C92" s="26"/>
      <c r="D92" s="26"/>
      <c r="E92" s="26"/>
      <c r="F92" s="25"/>
      <c r="G92" s="7"/>
      <c r="H92" s="25" t="s">
        <v>6</v>
      </c>
      <c r="R92" s="1"/>
    </row>
    <row r="93" spans="2:18" x14ac:dyDescent="0.25">
      <c r="B93" s="1">
        <f t="shared" ref="B93:E96" si="3">C77</f>
        <v>0.25098882318019911</v>
      </c>
      <c r="C93" s="1">
        <f t="shared" si="3"/>
        <v>1.1107150815905507</v>
      </c>
      <c r="D93" s="1">
        <f t="shared" si="3"/>
        <v>1.6154895422554019</v>
      </c>
      <c r="E93" s="1">
        <f t="shared" si="3"/>
        <v>0.87824210582103679</v>
      </c>
      <c r="H93" s="1">
        <f>B77</f>
        <v>9.4879503558885098E-3</v>
      </c>
      <c r="N93" s="6"/>
      <c r="R93" s="1"/>
    </row>
    <row r="94" spans="2:18" x14ac:dyDescent="0.25">
      <c r="B94" s="1">
        <f t="shared" si="3"/>
        <v>0.69316882317746209</v>
      </c>
      <c r="C94" s="1">
        <f t="shared" si="3"/>
        <v>1.0795064695323868</v>
      </c>
      <c r="D94" s="1">
        <f t="shared" si="3"/>
        <v>-1.465844115887311</v>
      </c>
      <c r="E94" s="1">
        <f t="shared" si="3"/>
        <v>-1.8521817622422361</v>
      </c>
      <c r="H94" s="1">
        <f>B78</f>
        <v>1.7531446278577143E-2</v>
      </c>
      <c r="R94" s="1"/>
    </row>
    <row r="95" spans="2:18" x14ac:dyDescent="0.25">
      <c r="B95" s="1">
        <f t="shared" si="3"/>
        <v>1.1059406209256992</v>
      </c>
      <c r="C95" s="1">
        <f t="shared" si="3"/>
        <v>-0.66718003191369224</v>
      </c>
      <c r="D95" s="1">
        <f t="shared" si="3"/>
        <v>-0.87626445946063969</v>
      </c>
      <c r="E95" s="1">
        <f t="shared" si="3"/>
        <v>2.6202640029202531</v>
      </c>
      <c r="H95" s="1">
        <f>B79</f>
        <v>2.2905938428308674E-2</v>
      </c>
      <c r="R95" s="1"/>
    </row>
    <row r="96" spans="2:18" x14ac:dyDescent="0.25">
      <c r="B96" s="1">
        <f t="shared" si="3"/>
        <v>1.2731819695652173</v>
      </c>
      <c r="C96" s="1">
        <f t="shared" si="3"/>
        <v>-1.8195459086956522</v>
      </c>
      <c r="D96" s="1">
        <f t="shared" si="3"/>
        <v>2.3659098478260869</v>
      </c>
      <c r="E96" s="1">
        <f t="shared" si="3"/>
        <v>-2.9122737869565221</v>
      </c>
      <c r="H96" s="1">
        <f>B80</f>
        <v>2.4793209095179125E-2</v>
      </c>
      <c r="R96" s="1"/>
    </row>
    <row r="98" spans="2:5" ht="19.149999999999999" customHeight="1" x14ac:dyDescent="0.25">
      <c r="B98" s="26" t="s">
        <v>17</v>
      </c>
      <c r="C98" s="26"/>
      <c r="D98" s="26"/>
      <c r="E98" s="26"/>
    </row>
    <row r="99" spans="2:5" x14ac:dyDescent="0.25">
      <c r="B99" s="1">
        <f t="array" ref="B99:E102">MINVERSE(B93:E96)</f>
        <v>0.23310393601859633</v>
      </c>
      <c r="C99" s="1">
        <v>0.34994267138464064</v>
      </c>
      <c r="D99" s="1">
        <v>0.39653539494359813</v>
      </c>
      <c r="E99" s="1">
        <v>0.20451088142783622</v>
      </c>
    </row>
    <row r="100" spans="2:5" x14ac:dyDescent="0.25">
      <c r="B100" s="1">
        <v>0.37712996047683783</v>
      </c>
      <c r="C100" s="1">
        <v>0.25643460739132284</v>
      </c>
      <c r="D100" s="1">
        <v>-9.3078452483228477E-2</v>
      </c>
      <c r="E100" s="1">
        <v>-0.13310637639430423</v>
      </c>
    </row>
    <row r="101" spans="2:5" x14ac:dyDescent="0.25">
      <c r="B101" s="1">
        <v>0.27481960842122882</v>
      </c>
      <c r="C101" s="1">
        <v>-0.15728362400062318</v>
      </c>
      <c r="D101" s="1">
        <v>-8.5645122381734412E-2</v>
      </c>
      <c r="E101" s="1">
        <v>0.10584965660583889</v>
      </c>
    </row>
    <row r="102" spans="2:5" x14ac:dyDescent="0.25">
      <c r="B102" s="1">
        <v>8.9544077500143718E-2</v>
      </c>
      <c r="C102" s="1">
        <v>-0.13500540980186576</v>
      </c>
      <c r="D102" s="1">
        <v>0.1619331246228112</v>
      </c>
      <c r="E102" s="1">
        <v>-8.4812261384939872E-2</v>
      </c>
    </row>
    <row r="105" spans="2:5" x14ac:dyDescent="0.25">
      <c r="C105" s="25" t="s">
        <v>15</v>
      </c>
    </row>
    <row r="106" spans="2:5" x14ac:dyDescent="0.25">
      <c r="B106" s="25" t="s">
        <v>19</v>
      </c>
      <c r="C106" s="1">
        <f t="array" ref="C106:C109">MMULT(B99:E102,H93:H96)</f>
        <v>2.2500176103371104E-2</v>
      </c>
    </row>
    <row r="107" spans="2:5" x14ac:dyDescent="0.25">
      <c r="B107" s="25" t="s">
        <v>20</v>
      </c>
      <c r="C107" s="1">
        <v>2.6416763627427446E-3</v>
      </c>
    </row>
    <row r="108" spans="2:5" x14ac:dyDescent="0.25">
      <c r="B108" s="25" t="s">
        <v>21</v>
      </c>
      <c r="C108" s="1">
        <v>5.126361657789894E-4</v>
      </c>
    </row>
    <row r="109" spans="2:5" x14ac:dyDescent="0.25">
      <c r="B109" s="25" t="s">
        <v>22</v>
      </c>
      <c r="C109" s="1">
        <v>8.9211724488443261E-5</v>
      </c>
    </row>
    <row r="115" spans="2:5" x14ac:dyDescent="0.25">
      <c r="B115" s="10" t="s">
        <v>18</v>
      </c>
      <c r="C115" s="1">
        <f>C106*C9*C11</f>
        <v>0.4064467302528238</v>
      </c>
    </row>
    <row r="116" spans="2:5" x14ac:dyDescent="0.25">
      <c r="D116" s="1" t="s">
        <v>23</v>
      </c>
    </row>
    <row r="119" spans="2:5" x14ac:dyDescent="0.25">
      <c r="B119" s="10" t="s">
        <v>36</v>
      </c>
      <c r="C119" s="1">
        <f>3*(C107/C106)^2 + 5*(C108/C106)^2 + 7*(C109/C106)^2</f>
        <v>4.405867294862955E-2</v>
      </c>
      <c r="E119" s="1" t="s">
        <v>39</v>
      </c>
    </row>
    <row r="120" spans="2:5" x14ac:dyDescent="0.25">
      <c r="B120" s="10" t="s">
        <v>37</v>
      </c>
      <c r="C120" s="1">
        <f>1/(1+C119)</f>
        <v>0.95780057760144921</v>
      </c>
      <c r="E120" s="1" t="s">
        <v>38</v>
      </c>
    </row>
    <row r="128" spans="2:5" x14ac:dyDescent="0.25">
      <c r="B128" s="10" t="s">
        <v>40</v>
      </c>
      <c r="C128" s="1">
        <f>((C115^2)/(C9*C11))*(1+C119)</f>
        <v>9.548044990982758E-3</v>
      </c>
    </row>
    <row r="134" spans="2:7" x14ac:dyDescent="0.25">
      <c r="B134" s="10" t="s">
        <v>41</v>
      </c>
      <c r="C134" s="1">
        <f>C115/(D17-D18)</f>
        <v>4.4784004308421226</v>
      </c>
      <c r="D134" s="1" t="s">
        <v>43</v>
      </c>
    </row>
    <row r="139" spans="2:7" x14ac:dyDescent="0.25">
      <c r="B139" s="10" t="s">
        <v>89</v>
      </c>
      <c r="C139" s="1">
        <v>10000</v>
      </c>
      <c r="D139" s="1" t="s">
        <v>2</v>
      </c>
      <c r="G139" s="1" t="s">
        <v>94</v>
      </c>
    </row>
    <row r="140" spans="2:7" x14ac:dyDescent="0.25">
      <c r="B140" s="10" t="s">
        <v>54</v>
      </c>
      <c r="C140" s="1">
        <v>60</v>
      </c>
      <c r="D140" s="1" t="s">
        <v>44</v>
      </c>
      <c r="G140" s="1" t="s">
        <v>95</v>
      </c>
    </row>
    <row r="141" spans="2:7" x14ac:dyDescent="0.25">
      <c r="B141" s="10" t="s">
        <v>55</v>
      </c>
      <c r="C141" s="1">
        <v>1.1000000000000001</v>
      </c>
      <c r="D141" s="1" t="s">
        <v>45</v>
      </c>
      <c r="G141" s="1" t="s">
        <v>96</v>
      </c>
    </row>
    <row r="142" spans="2:7" x14ac:dyDescent="0.25">
      <c r="B142" s="13"/>
      <c r="G142" s="1" t="s">
        <v>97</v>
      </c>
    </row>
    <row r="143" spans="2:7" x14ac:dyDescent="0.25">
      <c r="B143" s="13"/>
    </row>
    <row r="145" spans="2:4" x14ac:dyDescent="0.25">
      <c r="B145" s="10" t="s">
        <v>56</v>
      </c>
      <c r="C145" s="1">
        <f>0.5*C141*C140*C140*C115*C13</f>
        <v>11846.133821256703</v>
      </c>
      <c r="D145" s="1" t="s">
        <v>2</v>
      </c>
    </row>
    <row r="149" spans="2:4" x14ac:dyDescent="0.25">
      <c r="B149" s="13" t="s">
        <v>57</v>
      </c>
    </row>
    <row r="151" spans="2:4" x14ac:dyDescent="0.25">
      <c r="B151" s="10" t="s">
        <v>58</v>
      </c>
      <c r="C151" s="1">
        <f>SQRT(C139/(0.5*C141*C115*C13))</f>
        <v>55.126819027313473</v>
      </c>
      <c r="D151" s="1" t="s">
        <v>44</v>
      </c>
    </row>
  </sheetData>
  <mergeCells count="2">
    <mergeCell ref="B92:E92"/>
    <mergeCell ref="B98:E9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3DD-B595-4437-81EA-D209EF2FF11C}">
  <dimension ref="A2:S151"/>
  <sheetViews>
    <sheetView topLeftCell="A2" zoomScaleNormal="100" workbookViewId="0">
      <selection activeCell="M22" sqref="M22"/>
    </sheetView>
  </sheetViews>
  <sheetFormatPr defaultRowHeight="15" x14ac:dyDescent="0.25"/>
  <cols>
    <col min="1" max="1" width="9.140625" style="1"/>
    <col min="2" max="2" width="16.42578125" style="1" customWidth="1"/>
    <col min="3" max="3" width="14.140625" style="1" customWidth="1"/>
    <col min="4" max="4" width="12.85546875" style="1" customWidth="1"/>
    <col min="5" max="5" width="11.7109375" style="1" customWidth="1"/>
    <col min="6" max="6" width="11.140625" style="1" customWidth="1"/>
    <col min="7" max="7" width="11.7109375" style="1" customWidth="1"/>
    <col min="8" max="8" width="12.5703125" style="1" customWidth="1"/>
    <col min="9" max="10" width="14.7109375" style="1" customWidth="1"/>
    <col min="11" max="11" width="15" style="1" customWidth="1"/>
    <col min="12" max="12" width="14" style="1" customWidth="1"/>
    <col min="13" max="13" width="13.7109375" style="1" customWidth="1"/>
    <col min="14" max="14" width="16" style="1" customWidth="1"/>
    <col min="15" max="15" width="16.140625" style="1" customWidth="1"/>
    <col min="16" max="17" width="9.140625" style="1"/>
  </cols>
  <sheetData>
    <row r="2" spans="2:6" x14ac:dyDescent="0.25">
      <c r="B2" s="2"/>
      <c r="C2" s="1" t="s">
        <v>68</v>
      </c>
    </row>
    <row r="3" spans="2:6" x14ac:dyDescent="0.25">
      <c r="B3" s="3"/>
      <c r="C3" s="1" t="s">
        <v>69</v>
      </c>
    </row>
    <row r="4" spans="2:6" x14ac:dyDescent="0.25">
      <c r="B4" s="21"/>
      <c r="C4" s="1" t="s">
        <v>70</v>
      </c>
    </row>
    <row r="5" spans="2:6" x14ac:dyDescent="0.25">
      <c r="B5" s="8"/>
      <c r="C5" s="1" t="s">
        <v>53</v>
      </c>
    </row>
    <row r="6" spans="2:6" x14ac:dyDescent="0.25">
      <c r="B6" s="4"/>
    </row>
    <row r="7" spans="2:6" x14ac:dyDescent="0.25">
      <c r="B7" s="4"/>
    </row>
    <row r="9" spans="2:6" x14ac:dyDescent="0.25">
      <c r="B9" s="14" t="s">
        <v>5</v>
      </c>
      <c r="C9" s="8">
        <v>3.1415926500000002</v>
      </c>
    </row>
    <row r="11" spans="2:6" x14ac:dyDescent="0.25">
      <c r="B11" s="15" t="s">
        <v>63</v>
      </c>
      <c r="C11" s="2">
        <v>1</v>
      </c>
      <c r="F11" s="1" t="s">
        <v>3</v>
      </c>
    </row>
    <row r="12" spans="2:6" x14ac:dyDescent="0.25">
      <c r="B12" s="15" t="s">
        <v>61</v>
      </c>
      <c r="C12" s="2">
        <v>1</v>
      </c>
      <c r="F12" s="1" t="s">
        <v>85</v>
      </c>
    </row>
    <row r="13" spans="2:6" x14ac:dyDescent="0.25">
      <c r="B13" s="15" t="s">
        <v>48</v>
      </c>
      <c r="C13" s="2">
        <v>1</v>
      </c>
      <c r="F13" s="1" t="s">
        <v>84</v>
      </c>
    </row>
    <row r="14" spans="2:6" x14ac:dyDescent="0.25">
      <c r="B14" s="4"/>
      <c r="C14" s="4"/>
    </row>
    <row r="15" spans="2:6" x14ac:dyDescent="0.25">
      <c r="C15" s="9" t="s">
        <v>52</v>
      </c>
      <c r="D15" s="9" t="s">
        <v>51</v>
      </c>
    </row>
    <row r="16" spans="2:6" x14ac:dyDescent="0.25">
      <c r="B16" s="15" t="s">
        <v>42</v>
      </c>
      <c r="C16" s="2"/>
      <c r="D16" s="2">
        <f>2*C9</f>
        <v>6.2831853000000004</v>
      </c>
      <c r="F16" s="1" t="s">
        <v>4</v>
      </c>
    </row>
    <row r="17" spans="1:17" x14ac:dyDescent="0.25">
      <c r="B17" s="15" t="s">
        <v>0</v>
      </c>
      <c r="C17" s="2">
        <v>0</v>
      </c>
      <c r="D17" s="2">
        <f>RADIANS(C17)</f>
        <v>0</v>
      </c>
      <c r="F17" s="1" t="s">
        <v>46</v>
      </c>
    </row>
    <row r="18" spans="1:17" x14ac:dyDescent="0.25">
      <c r="B18" s="15" t="s">
        <v>1</v>
      </c>
      <c r="C18" s="2">
        <v>0</v>
      </c>
      <c r="D18" s="2">
        <f>RADIANS(C18)</f>
        <v>0</v>
      </c>
      <c r="F18" s="1" t="s">
        <v>47</v>
      </c>
      <c r="I18" s="24" t="s">
        <v>92</v>
      </c>
      <c r="J18" s="24"/>
      <c r="K18" s="24"/>
      <c r="L18" s="24"/>
    </row>
    <row r="20" spans="1:17" x14ac:dyDescent="0.25">
      <c r="B20" s="15" t="s">
        <v>81</v>
      </c>
      <c r="C20" s="2">
        <v>1</v>
      </c>
      <c r="D20"/>
      <c r="F20" s="1" t="s">
        <v>82</v>
      </c>
    </row>
    <row r="21" spans="1:17" x14ac:dyDescent="0.25">
      <c r="B21" s="15" t="s">
        <v>6</v>
      </c>
      <c r="C21" s="2">
        <v>1</v>
      </c>
      <c r="D21"/>
      <c r="F21" s="1" t="s">
        <v>83</v>
      </c>
    </row>
    <row r="22" spans="1:17" x14ac:dyDescent="0.25">
      <c r="B22" s="15" t="s">
        <v>7</v>
      </c>
      <c r="C22" s="2">
        <v>1</v>
      </c>
      <c r="F22" s="1" t="s">
        <v>9</v>
      </c>
      <c r="M22" s="2">
        <v>-3.2</v>
      </c>
    </row>
    <row r="23" spans="1:17" x14ac:dyDescent="0.25">
      <c r="B23" s="4"/>
      <c r="C23" s="4"/>
      <c r="D23" s="4"/>
    </row>
    <row r="24" spans="1:17" x14ac:dyDescent="0.25">
      <c r="B24" s="16" t="s">
        <v>8</v>
      </c>
      <c r="C24" s="5">
        <v>1</v>
      </c>
      <c r="F24" s="1" t="s">
        <v>10</v>
      </c>
    </row>
    <row r="25" spans="1:17" s="17" customFormat="1" x14ac:dyDescent="0.25">
      <c r="A25" s="4"/>
      <c r="B25" s="12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 x14ac:dyDescent="0.25">
      <c r="B26" s="19" t="s">
        <v>49</v>
      </c>
      <c r="C26" s="20">
        <f>C21*(C22+C24)/2</f>
        <v>1</v>
      </c>
      <c r="F26" s="1" t="s">
        <v>86</v>
      </c>
    </row>
    <row r="27" spans="1:17" x14ac:dyDescent="0.25">
      <c r="B27" s="19" t="s">
        <v>50</v>
      </c>
      <c r="C27" s="20">
        <f>+C24/C22</f>
        <v>1</v>
      </c>
      <c r="F27" s="1" t="s">
        <v>87</v>
      </c>
    </row>
    <row r="28" spans="1:17" x14ac:dyDescent="0.25">
      <c r="B28" s="12"/>
      <c r="C28" s="4"/>
    </row>
    <row r="29" spans="1:17" x14ac:dyDescent="0.25">
      <c r="B29" s="19" t="s">
        <v>64</v>
      </c>
      <c r="C29" s="20">
        <f>(C21)^2/(C26)</f>
        <v>1</v>
      </c>
      <c r="F29" s="1" t="s">
        <v>80</v>
      </c>
    </row>
    <row r="30" spans="1:17" x14ac:dyDescent="0.25">
      <c r="B30" s="19" t="s">
        <v>65</v>
      </c>
      <c r="C30" s="20">
        <f>(C20)^2/(0.5*C26)</f>
        <v>2</v>
      </c>
      <c r="F30" s="1" t="s">
        <v>79</v>
      </c>
    </row>
    <row r="31" spans="1:17" x14ac:dyDescent="0.25">
      <c r="B31" s="4"/>
      <c r="C31" s="4"/>
    </row>
    <row r="32" spans="1:17" x14ac:dyDescent="0.25">
      <c r="B32" s="19" t="s">
        <v>59</v>
      </c>
      <c r="C32" s="20">
        <f>C21/2</f>
        <v>0.5</v>
      </c>
      <c r="F32" s="1" t="s">
        <v>60</v>
      </c>
    </row>
    <row r="33" spans="2:7" x14ac:dyDescent="0.25">
      <c r="B33" s="4"/>
      <c r="C33" s="4"/>
      <c r="D33" s="4"/>
      <c r="E33" s="4"/>
      <c r="F33" s="4"/>
      <c r="G33" s="4"/>
    </row>
    <row r="34" spans="2:7" x14ac:dyDescent="0.25">
      <c r="B34" s="14" t="s">
        <v>2</v>
      </c>
      <c r="C34" s="8">
        <v>4</v>
      </c>
      <c r="F34" s="1" t="s">
        <v>62</v>
      </c>
    </row>
    <row r="49" spans="2:19" x14ac:dyDescent="0.25">
      <c r="B49" s="10" t="s">
        <v>12</v>
      </c>
      <c r="C49" s="1">
        <f>D16/(2*(1+C12)*C11)</f>
        <v>1.5707963250000001</v>
      </c>
    </row>
    <row r="50" spans="2:19" x14ac:dyDescent="0.25">
      <c r="B50" s="4"/>
    </row>
    <row r="51" spans="2:19" x14ac:dyDescent="0.25">
      <c r="B51" s="4"/>
    </row>
    <row r="52" spans="2:19" x14ac:dyDescent="0.25">
      <c r="B52" s="4"/>
    </row>
    <row r="53" spans="2:19" x14ac:dyDescent="0.25">
      <c r="B53" s="4"/>
    </row>
    <row r="54" spans="2:19" x14ac:dyDescent="0.25">
      <c r="B54" s="4"/>
    </row>
    <row r="55" spans="2:19" x14ac:dyDescent="0.25">
      <c r="B55" s="4"/>
    </row>
    <row r="56" spans="2:19" x14ac:dyDescent="0.25">
      <c r="B56" s="4"/>
    </row>
    <row r="59" spans="2:19" ht="22.15" customHeight="1" x14ac:dyDescent="0.25">
      <c r="B59" s="22" t="s">
        <v>88</v>
      </c>
      <c r="C59" s="22" t="s">
        <v>28</v>
      </c>
      <c r="D59" s="22" t="s">
        <v>28</v>
      </c>
      <c r="E59" s="22" t="s">
        <v>29</v>
      </c>
      <c r="F59" s="18" t="s">
        <v>66</v>
      </c>
      <c r="G59" s="18" t="s">
        <v>67</v>
      </c>
      <c r="H59" s="22" t="s">
        <v>35</v>
      </c>
      <c r="I59" s="22" t="s">
        <v>30</v>
      </c>
      <c r="J59" s="22" t="s">
        <v>31</v>
      </c>
      <c r="K59" s="22" t="s">
        <v>32</v>
      </c>
      <c r="L59" s="22" t="s">
        <v>33</v>
      </c>
      <c r="M59" s="22" t="s">
        <v>34</v>
      </c>
      <c r="N59" s="22" t="s">
        <v>11</v>
      </c>
      <c r="R59" s="1"/>
      <c r="S59" s="1"/>
    </row>
    <row r="60" spans="2:19" x14ac:dyDescent="0.25">
      <c r="B60" s="23">
        <v>1</v>
      </c>
      <c r="C60" s="7" t="s">
        <v>24</v>
      </c>
      <c r="D60" s="7">
        <v>22.5</v>
      </c>
      <c r="E60" s="7">
        <f>RADIANS(D60)</f>
        <v>0.39269908169872414</v>
      </c>
      <c r="F60" s="7">
        <f>($C$21)*I60</f>
        <v>0.92387953251128674</v>
      </c>
      <c r="G60" s="7">
        <f>($C$20)*I60</f>
        <v>0.92387953251128674</v>
      </c>
      <c r="H60" s="7">
        <f>$C$22*(1+($C$12-1)*I60)</f>
        <v>1</v>
      </c>
      <c r="I60" s="7">
        <f>COS(E60)</f>
        <v>0.92387953251128674</v>
      </c>
      <c r="J60" s="7">
        <f>SIN(E60)</f>
        <v>0.38268343236508978</v>
      </c>
      <c r="K60" s="7">
        <f>SIN(3*E60)</f>
        <v>0.92387953251128674</v>
      </c>
      <c r="L60" s="7">
        <f>SIN(5*E60)</f>
        <v>0.92387953251128674</v>
      </c>
      <c r="M60" s="7">
        <f>SIN(7*E60)</f>
        <v>0.38268343236508989</v>
      </c>
      <c r="N60" s="7">
        <f>$C$49*(1+($C$12-1)*I60)</f>
        <v>1.5707963250000001</v>
      </c>
      <c r="R60" s="1"/>
      <c r="S60" s="1"/>
    </row>
    <row r="61" spans="2:19" x14ac:dyDescent="0.25">
      <c r="B61" s="23">
        <v>2</v>
      </c>
      <c r="C61" s="7" t="s">
        <v>25</v>
      </c>
      <c r="D61" s="7">
        <v>45</v>
      </c>
      <c r="E61" s="7">
        <f t="shared" ref="E61:E63" si="0">RADIANS(D61)</f>
        <v>0.78539816339744828</v>
      </c>
      <c r="F61" s="7">
        <f t="shared" ref="F61:F63" si="1">($C$21)*I61</f>
        <v>0.70710678118654757</v>
      </c>
      <c r="G61" s="7">
        <f t="shared" ref="G61:G63" si="2">($C$20)*I61</f>
        <v>0.70710678118654757</v>
      </c>
      <c r="H61" s="7">
        <f>$C$22*(1+($C$12-1)*I61)</f>
        <v>1</v>
      </c>
      <c r="I61" s="7">
        <f>COS(E61)</f>
        <v>0.70710678118654757</v>
      </c>
      <c r="J61" s="7">
        <f>SIN(E61)</f>
        <v>0.70710678118654746</v>
      </c>
      <c r="K61" s="7">
        <f>SIN(3*E61)</f>
        <v>0.70710678118654757</v>
      </c>
      <c r="L61" s="7">
        <f>SIN(5*E61)</f>
        <v>-0.70710678118654746</v>
      </c>
      <c r="M61" s="7">
        <f>SIN(7*E61)</f>
        <v>-0.70710678118654768</v>
      </c>
      <c r="N61" s="7">
        <f>$C$49*(1+($C$12-1)*I61)</f>
        <v>1.5707963250000001</v>
      </c>
      <c r="R61" s="1"/>
      <c r="S61" s="1"/>
    </row>
    <row r="62" spans="2:19" x14ac:dyDescent="0.25">
      <c r="B62" s="23">
        <v>3</v>
      </c>
      <c r="C62" s="7" t="s">
        <v>26</v>
      </c>
      <c r="D62" s="7">
        <v>67.5</v>
      </c>
      <c r="E62" s="7">
        <f t="shared" si="0"/>
        <v>1.1780972450961724</v>
      </c>
      <c r="F62" s="7">
        <f t="shared" si="1"/>
        <v>0.38268343236508984</v>
      </c>
      <c r="G62" s="7">
        <f t="shared" si="2"/>
        <v>0.38268343236508984</v>
      </c>
      <c r="H62" s="7">
        <f>$C$22*(1+($C$12-1)*I62)</f>
        <v>1</v>
      </c>
      <c r="I62" s="7">
        <f>COS(E62)</f>
        <v>0.38268343236508984</v>
      </c>
      <c r="J62" s="7">
        <f>SIN(E62)</f>
        <v>0.92387953251128674</v>
      </c>
      <c r="K62" s="7">
        <f>SIN(3*E62)</f>
        <v>-0.38268343236508967</v>
      </c>
      <c r="L62" s="7">
        <f>SIN(5*E62)</f>
        <v>-0.38268343236509039</v>
      </c>
      <c r="M62" s="7">
        <f>SIN(7*E62)</f>
        <v>0.92387953251128674</v>
      </c>
      <c r="N62" s="7">
        <f>$C$49*(1+($C$12-1)*I62)</f>
        <v>1.5707963250000001</v>
      </c>
      <c r="R62" s="1"/>
      <c r="S62" s="1"/>
    </row>
    <row r="63" spans="2:19" x14ac:dyDescent="0.25">
      <c r="B63" s="23">
        <v>4</v>
      </c>
      <c r="C63" s="7" t="s">
        <v>27</v>
      </c>
      <c r="D63" s="7">
        <v>90</v>
      </c>
      <c r="E63" s="7">
        <f t="shared" si="0"/>
        <v>1.5707963267948966</v>
      </c>
      <c r="F63" s="7">
        <f t="shared" si="1"/>
        <v>6.1257422745431001E-17</v>
      </c>
      <c r="G63" s="7">
        <f t="shared" si="2"/>
        <v>6.1257422745431001E-17</v>
      </c>
      <c r="H63" s="7">
        <f>$C$22*(1+($C$12-1)*I63)</f>
        <v>1</v>
      </c>
      <c r="I63" s="7">
        <f>COS(E63)</f>
        <v>6.1257422745431001E-17</v>
      </c>
      <c r="J63" s="7">
        <f>SIN(E63)</f>
        <v>1</v>
      </c>
      <c r="K63" s="7">
        <f>SIN(3*E63)</f>
        <v>-1</v>
      </c>
      <c r="L63" s="7">
        <f>SIN(5*E63)</f>
        <v>1</v>
      </c>
      <c r="M63" s="7">
        <f>SIN(7*E63)</f>
        <v>-1</v>
      </c>
      <c r="N63" s="7">
        <f>$C$49*(1+($C$12-1)*I63)</f>
        <v>1.5707963250000001</v>
      </c>
      <c r="R63" s="1"/>
      <c r="S63" s="1"/>
    </row>
    <row r="64" spans="2:19" x14ac:dyDescent="0.25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2:12" x14ac:dyDescent="0.25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2:12" x14ac:dyDescent="0.25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2:12" x14ac:dyDescent="0.25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2:12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2:12" x14ac:dyDescent="0.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2:12" x14ac:dyDescent="0.25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2:12" x14ac:dyDescent="0.25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2:12" x14ac:dyDescent="0.25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2:12" x14ac:dyDescent="0.25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6" spans="2:12" ht="19.899999999999999" customHeight="1" x14ac:dyDescent="0.25">
      <c r="B76" s="22" t="s">
        <v>13</v>
      </c>
      <c r="C76" s="22" t="s">
        <v>19</v>
      </c>
      <c r="D76" s="22" t="s">
        <v>20</v>
      </c>
      <c r="E76" s="22" t="s">
        <v>21</v>
      </c>
      <c r="F76" s="22" t="s">
        <v>22</v>
      </c>
    </row>
    <row r="77" spans="2:12" x14ac:dyDescent="0.25">
      <c r="B77" s="1">
        <f>N60*($D$17-$D$18)*J60</f>
        <v>0</v>
      </c>
      <c r="C77" s="1">
        <f>1*J60*(N60+J60)</f>
        <v>0.74756433860419536</v>
      </c>
      <c r="D77" s="1">
        <f>K60*(3*N60+J60)</f>
        <v>4.7072331138276162</v>
      </c>
      <c r="E77" s="1">
        <f>L60*(5*N60+J60)</f>
        <v>7.6096862626505111</v>
      </c>
      <c r="F77" s="1">
        <f>M60*(7*N60+J60)</f>
        <v>4.3542707137890115</v>
      </c>
    </row>
    <row r="78" spans="2:12" x14ac:dyDescent="0.25">
      <c r="B78" s="1">
        <f>N61*($D$17-$D$18)*J61</f>
        <v>0</v>
      </c>
      <c r="C78" s="1">
        <f>1*J61*(N61+J61)</f>
        <v>1.6107207332704081</v>
      </c>
      <c r="D78" s="1">
        <f>K61*(3*N61+J61)</f>
        <v>3.8321621998112243</v>
      </c>
      <c r="E78" s="1">
        <f>L61*(5*N61+J61)</f>
        <v>-6.0536036663520392</v>
      </c>
      <c r="F78" s="1">
        <f>M61*(7*N61+J61)</f>
        <v>-8.275045132892858</v>
      </c>
    </row>
    <row r="79" spans="2:12" x14ac:dyDescent="0.25">
      <c r="B79" s="1">
        <f>N62*($D$17-$D$18)*J62</f>
        <v>0</v>
      </c>
      <c r="C79" s="1">
        <f>1*J62*(N62+J62)</f>
        <v>2.3047799650047209</v>
      </c>
      <c r="D79" s="1">
        <f>K62*(3*N62+J62)</f>
        <v>-2.1569065781856809</v>
      </c>
      <c r="E79" s="1">
        <f>L62*(5*N62+J62)</f>
        <v>-3.3591420365806246</v>
      </c>
      <c r="F79" s="1">
        <f>M62*(7*N62+J62)</f>
        <v>11.012139411473404</v>
      </c>
    </row>
    <row r="80" spans="2:12" x14ac:dyDescent="0.25">
      <c r="B80" s="1">
        <f>N63*($D$17-$D$18)*J63</f>
        <v>0</v>
      </c>
      <c r="C80" s="1">
        <f>1*J63*(N63+J63)</f>
        <v>2.5707963249999999</v>
      </c>
      <c r="D80" s="1">
        <f>K63*(3*N63+J63)</f>
        <v>-5.7123889750000005</v>
      </c>
      <c r="E80" s="1">
        <f>L63*(5*N63+J63)</f>
        <v>8.8539816249999994</v>
      </c>
      <c r="F80" s="1">
        <f>M63*(7*N63+J63)</f>
        <v>-11.995574275000001</v>
      </c>
    </row>
    <row r="90" spans="2:18" x14ac:dyDescent="0.25">
      <c r="B90" s="13" t="s">
        <v>14</v>
      </c>
    </row>
    <row r="92" spans="2:18" ht="19.899999999999999" customHeight="1" x14ac:dyDescent="0.25">
      <c r="B92" s="26" t="s">
        <v>16</v>
      </c>
      <c r="C92" s="26"/>
      <c r="D92" s="26"/>
      <c r="E92" s="26"/>
      <c r="F92" s="22"/>
      <c r="G92" s="7"/>
      <c r="H92" s="22" t="s">
        <v>6</v>
      </c>
      <c r="R92" s="1"/>
    </row>
    <row r="93" spans="2:18" x14ac:dyDescent="0.25">
      <c r="B93" s="1">
        <f t="shared" ref="B93:E96" si="3">C77</f>
        <v>0.74756433860419536</v>
      </c>
      <c r="C93" s="1">
        <f t="shared" si="3"/>
        <v>4.7072331138276162</v>
      </c>
      <c r="D93" s="1">
        <f t="shared" si="3"/>
        <v>7.6096862626505111</v>
      </c>
      <c r="E93" s="1">
        <f t="shared" si="3"/>
        <v>4.3542707137890115</v>
      </c>
      <c r="H93" s="1">
        <f>B77</f>
        <v>0</v>
      </c>
      <c r="N93" s="6"/>
      <c r="R93" s="1"/>
    </row>
    <row r="94" spans="2:18" x14ac:dyDescent="0.25">
      <c r="B94" s="1">
        <f t="shared" si="3"/>
        <v>1.6107207332704081</v>
      </c>
      <c r="C94" s="1">
        <f t="shared" si="3"/>
        <v>3.8321621998112243</v>
      </c>
      <c r="D94" s="1">
        <f t="shared" si="3"/>
        <v>-6.0536036663520392</v>
      </c>
      <c r="E94" s="1">
        <f t="shared" si="3"/>
        <v>-8.275045132892858</v>
      </c>
      <c r="H94" s="1">
        <f>B78</f>
        <v>0</v>
      </c>
      <c r="R94" s="1"/>
    </row>
    <row r="95" spans="2:18" x14ac:dyDescent="0.25">
      <c r="B95" s="1">
        <f t="shared" si="3"/>
        <v>2.3047799650047209</v>
      </c>
      <c r="C95" s="1">
        <f t="shared" si="3"/>
        <v>-2.1569065781856809</v>
      </c>
      <c r="D95" s="1">
        <f t="shared" si="3"/>
        <v>-3.3591420365806246</v>
      </c>
      <c r="E95" s="1">
        <f t="shared" si="3"/>
        <v>11.012139411473404</v>
      </c>
      <c r="H95" s="1">
        <f>B79</f>
        <v>0</v>
      </c>
      <c r="R95" s="1"/>
    </row>
    <row r="96" spans="2:18" x14ac:dyDescent="0.25">
      <c r="B96" s="1">
        <f t="shared" si="3"/>
        <v>2.5707963249999999</v>
      </c>
      <c r="C96" s="1">
        <f t="shared" si="3"/>
        <v>-5.7123889750000005</v>
      </c>
      <c r="D96" s="1">
        <f t="shared" si="3"/>
        <v>8.8539816249999994</v>
      </c>
      <c r="E96" s="1">
        <f t="shared" si="3"/>
        <v>-11.995574275000001</v>
      </c>
      <c r="H96" s="1">
        <f>B80</f>
        <v>0</v>
      </c>
      <c r="R96" s="1"/>
    </row>
    <row r="98" spans="2:5" ht="19.149999999999999" customHeight="1" x14ac:dyDescent="0.25">
      <c r="B98" s="26" t="s">
        <v>17</v>
      </c>
      <c r="C98" s="26"/>
      <c r="D98" s="26"/>
      <c r="E98" s="26"/>
    </row>
    <row r="99" spans="2:5" x14ac:dyDescent="0.25">
      <c r="B99" s="1">
        <f t="array" ref="B99:E102">MINVERSE(B93:E96)</f>
        <v>8.5972682766022684E-2</v>
      </c>
      <c r="C99" s="1">
        <v>0.15048952140751584</v>
      </c>
      <c r="D99" s="1">
        <v>0.18864424402717417</v>
      </c>
      <c r="E99" s="1">
        <v>0.10057188091385291</v>
      </c>
    </row>
    <row r="100" spans="2:5" x14ac:dyDescent="0.25">
      <c r="B100" s="1">
        <v>9.0871550978825391E-2</v>
      </c>
      <c r="C100" s="1">
        <v>6.8979486627958483E-2</v>
      </c>
      <c r="D100" s="1">
        <v>-3.0334916935773587E-2</v>
      </c>
      <c r="E100" s="1">
        <v>-4.2447435579623868E-2</v>
      </c>
    </row>
    <row r="101" spans="2:5" x14ac:dyDescent="0.25">
      <c r="B101" s="1">
        <v>5.6928853922412315E-2</v>
      </c>
      <c r="C101" s="1">
        <v>-4.0153421114623673E-2</v>
      </c>
      <c r="D101" s="1">
        <v>-2.1912180490355142E-2</v>
      </c>
      <c r="E101" s="1">
        <v>2.8248337197540125E-2</v>
      </c>
    </row>
    <row r="102" spans="2:5" x14ac:dyDescent="0.25">
      <c r="B102" s="1">
        <v>1.717063583552669E-2</v>
      </c>
      <c r="C102" s="1">
        <v>-3.0234267634429237E-2</v>
      </c>
      <c r="D102" s="1">
        <v>3.8701000908406148E-2</v>
      </c>
      <c r="E102" s="1">
        <v>-2.0746289501211799E-2</v>
      </c>
    </row>
    <row r="105" spans="2:5" x14ac:dyDescent="0.25">
      <c r="C105" s="22" t="s">
        <v>15</v>
      </c>
    </row>
    <row r="106" spans="2:5" x14ac:dyDescent="0.25">
      <c r="B106" s="22" t="s">
        <v>19</v>
      </c>
      <c r="C106" s="1">
        <f t="array" ref="C106:C109">MMULT(B99:E102,H93:H96)</f>
        <v>0</v>
      </c>
    </row>
    <row r="107" spans="2:5" x14ac:dyDescent="0.25">
      <c r="B107" s="22" t="s">
        <v>20</v>
      </c>
      <c r="C107" s="1">
        <v>0</v>
      </c>
    </row>
    <row r="108" spans="2:5" x14ac:dyDescent="0.25">
      <c r="B108" s="22" t="s">
        <v>21</v>
      </c>
      <c r="C108" s="1">
        <v>0</v>
      </c>
    </row>
    <row r="109" spans="2:5" x14ac:dyDescent="0.25">
      <c r="B109" s="22" t="s">
        <v>22</v>
      </c>
      <c r="C109" s="1">
        <v>0</v>
      </c>
    </row>
    <row r="115" spans="2:5" x14ac:dyDescent="0.25">
      <c r="B115" s="10" t="s">
        <v>18</v>
      </c>
      <c r="C115" s="1">
        <f>C106*C9*C11</f>
        <v>0</v>
      </c>
    </row>
    <row r="116" spans="2:5" x14ac:dyDescent="0.25">
      <c r="D116" s="1" t="s">
        <v>23</v>
      </c>
    </row>
    <row r="119" spans="2:5" x14ac:dyDescent="0.25">
      <c r="B119" s="10" t="s">
        <v>36</v>
      </c>
      <c r="C119" s="1" t="e">
        <f>3*(C107/C106)^2 + 5*(C108/C106)^2 + 7*(C109/C106)^2</f>
        <v>#DIV/0!</v>
      </c>
      <c r="E119" s="1" t="s">
        <v>39</v>
      </c>
    </row>
    <row r="120" spans="2:5" x14ac:dyDescent="0.25">
      <c r="B120" s="10" t="s">
        <v>37</v>
      </c>
      <c r="C120" s="1" t="e">
        <f>1/(1+C119)</f>
        <v>#DIV/0!</v>
      </c>
      <c r="E120" s="1" t="s">
        <v>38</v>
      </c>
    </row>
    <row r="128" spans="2:5" x14ac:dyDescent="0.25">
      <c r="B128" s="10" t="s">
        <v>40</v>
      </c>
      <c r="C128" s="1" t="e">
        <f>((C115^2)/(C9*C11))*(1+C119)</f>
        <v>#DIV/0!</v>
      </c>
    </row>
    <row r="134" spans="2:4" x14ac:dyDescent="0.25">
      <c r="B134" s="10" t="s">
        <v>41</v>
      </c>
      <c r="C134" s="1" t="e">
        <f>C115/(D17-D18)</f>
        <v>#DIV/0!</v>
      </c>
      <c r="D134" s="1" t="s">
        <v>43</v>
      </c>
    </row>
    <row r="139" spans="2:4" x14ac:dyDescent="0.25">
      <c r="B139" s="10" t="s">
        <v>89</v>
      </c>
      <c r="C139" s="1">
        <v>10000</v>
      </c>
      <c r="D139" s="1" t="s">
        <v>2</v>
      </c>
    </row>
    <row r="140" spans="2:4" x14ac:dyDescent="0.25">
      <c r="B140" s="10" t="s">
        <v>54</v>
      </c>
      <c r="C140" s="1">
        <v>100</v>
      </c>
      <c r="D140" s="1" t="s">
        <v>44</v>
      </c>
    </row>
    <row r="141" spans="2:4" x14ac:dyDescent="0.25">
      <c r="B141" s="10" t="s">
        <v>55</v>
      </c>
      <c r="C141" s="1">
        <v>1.2250000000000001</v>
      </c>
      <c r="D141" s="1" t="s">
        <v>45</v>
      </c>
    </row>
    <row r="142" spans="2:4" x14ac:dyDescent="0.25">
      <c r="B142" s="12"/>
    </row>
    <row r="143" spans="2:4" x14ac:dyDescent="0.25">
      <c r="B143" s="12"/>
    </row>
    <row r="145" spans="2:4" x14ac:dyDescent="0.25">
      <c r="B145" s="10" t="s">
        <v>56</v>
      </c>
      <c r="C145" s="1">
        <f>0.5*C141*C140*C140*C115*C13</f>
        <v>0</v>
      </c>
      <c r="D145" s="1" t="s">
        <v>2</v>
      </c>
    </row>
    <row r="146" spans="2:4" x14ac:dyDescent="0.25">
      <c r="B146" s="4"/>
    </row>
    <row r="147" spans="2:4" x14ac:dyDescent="0.25">
      <c r="B147" s="4"/>
    </row>
    <row r="148" spans="2:4" x14ac:dyDescent="0.25">
      <c r="B148" s="4"/>
    </row>
    <row r="149" spans="2:4" x14ac:dyDescent="0.25">
      <c r="B149" s="12" t="s">
        <v>57</v>
      </c>
    </row>
    <row r="150" spans="2:4" x14ac:dyDescent="0.25">
      <c r="B150" s="4"/>
    </row>
    <row r="151" spans="2:4" x14ac:dyDescent="0.25">
      <c r="B151" s="10" t="s">
        <v>58</v>
      </c>
      <c r="C151" s="1" t="e">
        <f>SQRT(C139/(0.5*C141*C115*C13))</f>
        <v>#DIV/0!</v>
      </c>
      <c r="D151" s="1" t="s">
        <v>44</v>
      </c>
    </row>
  </sheetData>
  <mergeCells count="2">
    <mergeCell ref="B92:E92"/>
    <mergeCell ref="B98:E9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897EA-BD83-4A01-B10D-5AF7754ABFE0}">
  <dimension ref="B3:Q24"/>
  <sheetViews>
    <sheetView zoomScaleNormal="100" workbookViewId="0">
      <selection activeCell="M5" sqref="M5"/>
    </sheetView>
  </sheetViews>
  <sheetFormatPr defaultRowHeight="15" x14ac:dyDescent="0.25"/>
  <cols>
    <col min="2" max="2" width="19.42578125" customWidth="1"/>
    <col min="3" max="3" width="16.28515625" customWidth="1"/>
    <col min="6" max="6" width="14.5703125" customWidth="1"/>
    <col min="7" max="7" width="11.85546875" customWidth="1"/>
    <col min="11" max="11" width="12" customWidth="1"/>
    <col min="12" max="12" width="13.28515625" customWidth="1"/>
    <col min="13" max="13" width="14.140625" customWidth="1"/>
  </cols>
  <sheetData>
    <row r="3" spans="2:17" x14ac:dyDescent="0.25">
      <c r="B3" t="s">
        <v>71</v>
      </c>
      <c r="F3" t="s">
        <v>72</v>
      </c>
      <c r="J3" t="s">
        <v>73</v>
      </c>
      <c r="M3" t="s">
        <v>78</v>
      </c>
      <c r="P3" t="s">
        <v>74</v>
      </c>
    </row>
    <row r="4" spans="2:17" x14ac:dyDescent="0.25">
      <c r="B4" t="s">
        <v>0</v>
      </c>
      <c r="C4" t="s">
        <v>18</v>
      </c>
      <c r="F4" t="s">
        <v>0</v>
      </c>
      <c r="G4" t="s">
        <v>18</v>
      </c>
      <c r="J4" t="s">
        <v>0</v>
      </c>
      <c r="K4" t="s">
        <v>18</v>
      </c>
      <c r="L4" t="s">
        <v>75</v>
      </c>
      <c r="M4" t="s">
        <v>77</v>
      </c>
      <c r="P4" t="s">
        <v>0</v>
      </c>
      <c r="Q4" t="s">
        <v>18</v>
      </c>
    </row>
    <row r="5" spans="2:17" x14ac:dyDescent="0.25">
      <c r="B5">
        <v>-3.0501237822717999</v>
      </c>
      <c r="C5">
        <v>-0.150733584113001</v>
      </c>
      <c r="F5">
        <v>-2.56536882830166</v>
      </c>
      <c r="G5">
        <v>-0.106270563396885</v>
      </c>
      <c r="J5">
        <v>-4</v>
      </c>
      <c r="K5">
        <v>-0.25058697600000002</v>
      </c>
      <c r="L5">
        <v>2.251715159339987E-3</v>
      </c>
      <c r="M5">
        <f>(K5^2)/($K$19*$K$18*$K$17)</f>
        <v>2.2517151625599378E-3</v>
      </c>
      <c r="P5">
        <v>0</v>
      </c>
      <c r="Q5">
        <v>0.121515993233707</v>
      </c>
    </row>
    <row r="6" spans="2:17" x14ac:dyDescent="0.25">
      <c r="B6">
        <v>-1.87557470340481</v>
      </c>
      <c r="C6">
        <v>-4.51231928324171E-2</v>
      </c>
      <c r="F6">
        <v>-1.26045719062469</v>
      </c>
      <c r="G6">
        <v>4.9298567126427797E-3</v>
      </c>
      <c r="J6">
        <v>-2</v>
      </c>
      <c r="K6">
        <v>-7.1599999999999997E-2</v>
      </c>
      <c r="L6">
        <v>1.8381348239510106E-4</v>
      </c>
      <c r="M6">
        <f t="shared" ref="M6:M13" si="0">(K6^2)/($K$19*$K$18*$K$17)</f>
        <v>1.8383259018739436E-4</v>
      </c>
      <c r="P6">
        <v>4</v>
      </c>
      <c r="Q6">
        <v>0.45828706422691101</v>
      </c>
    </row>
    <row r="7" spans="2:17" x14ac:dyDescent="0.25">
      <c r="B7">
        <v>-1.20378527258892</v>
      </c>
      <c r="C7">
        <v>4.1822332250907902E-2</v>
      </c>
      <c r="F7">
        <v>0.67839115197890498</v>
      </c>
      <c r="G7">
        <v>0.17540858866775899</v>
      </c>
      <c r="J7">
        <v>0</v>
      </c>
      <c r="K7">
        <v>0.107394</v>
      </c>
      <c r="L7">
        <v>4.1358033538897715E-4</v>
      </c>
      <c r="M7">
        <f t="shared" si="0"/>
        <v>4.1357711431558178E-4</v>
      </c>
      <c r="P7">
        <v>10</v>
      </c>
      <c r="Q7">
        <v>0.93010835468571595</v>
      </c>
    </row>
    <row r="8" spans="2:17" x14ac:dyDescent="0.25">
      <c r="B8">
        <v>0.15608355035419799</v>
      </c>
      <c r="C8">
        <v>0.116181718805259</v>
      </c>
      <c r="F8">
        <v>3.6985499791016898</v>
      </c>
      <c r="G8">
        <v>0.44223815494753999</v>
      </c>
      <c r="J8">
        <v>2</v>
      </c>
      <c r="K8">
        <v>0.286385</v>
      </c>
      <c r="L8">
        <v>2.9410157183216157E-3</v>
      </c>
      <c r="M8">
        <f t="shared" si="0"/>
        <v>2.9410133517533896E-3</v>
      </c>
      <c r="P8">
        <v>14</v>
      </c>
      <c r="Q8">
        <v>0.82369999999999999</v>
      </c>
    </row>
    <row r="9" spans="2:17" x14ac:dyDescent="0.25">
      <c r="B9">
        <v>1.0513455293701499</v>
      </c>
      <c r="C9">
        <v>0.21244681649144201</v>
      </c>
      <c r="F9">
        <v>5.7866658093002696</v>
      </c>
      <c r="G9">
        <v>0.63121885348680196</v>
      </c>
      <c r="J9">
        <v>4</v>
      </c>
      <c r="K9">
        <v>0.46537600000000001</v>
      </c>
      <c r="L9">
        <v>7.7661196311930147E-3</v>
      </c>
      <c r="M9">
        <f t="shared" si="0"/>
        <v>7.7661258978578901E-3</v>
      </c>
    </row>
    <row r="10" spans="2:17" x14ac:dyDescent="0.25">
      <c r="B10">
        <v>2.22576600327942</v>
      </c>
      <c r="C10">
        <v>0.31252719459001799</v>
      </c>
      <c r="F10">
        <v>8.7321480243063299</v>
      </c>
      <c r="G10">
        <v>0.88695409874717401</v>
      </c>
      <c r="J10">
        <v>6</v>
      </c>
      <c r="K10">
        <v>0.64436650900000003</v>
      </c>
      <c r="L10">
        <v>1.4888892074003178E-2</v>
      </c>
      <c r="M10">
        <f t="shared" si="0"/>
        <v>1.4888892062285356E-2</v>
      </c>
    </row>
    <row r="11" spans="2:17" x14ac:dyDescent="0.25">
      <c r="B11">
        <v>3.1579376051613401</v>
      </c>
      <c r="C11">
        <v>0.39590607551254398</v>
      </c>
      <c r="F11">
        <v>10.260832288417999</v>
      </c>
      <c r="G11">
        <v>1.02037745555091</v>
      </c>
      <c r="J11">
        <v>8</v>
      </c>
      <c r="K11">
        <v>0.82335720599999995</v>
      </c>
      <c r="L11">
        <v>2.4309333046752112E-2</v>
      </c>
      <c r="M11">
        <f t="shared" si="0"/>
        <v>2.4309333030900739E-2</v>
      </c>
    </row>
    <row r="12" spans="2:17" x14ac:dyDescent="0.25">
      <c r="B12">
        <v>4.3133245453278803</v>
      </c>
      <c r="C12">
        <v>0.47754450267391102</v>
      </c>
      <c r="F12">
        <v>12.311481207600499</v>
      </c>
      <c r="G12">
        <v>1.19828098039846</v>
      </c>
      <c r="J12">
        <v>10</v>
      </c>
      <c r="K12">
        <v>1.002347903</v>
      </c>
      <c r="L12">
        <v>3.6027442549439792E-2</v>
      </c>
      <c r="M12">
        <f t="shared" si="0"/>
        <v>3.6027442529072896E-2</v>
      </c>
    </row>
    <row r="13" spans="2:17" x14ac:dyDescent="0.25">
      <c r="B13">
        <v>5.3389062148345703</v>
      </c>
      <c r="C13">
        <v>0.57755629146170295</v>
      </c>
      <c r="J13">
        <v>12</v>
      </c>
      <c r="K13">
        <v>1.1813385999999999</v>
      </c>
      <c r="L13">
        <v>5.0043220582066249E-2</v>
      </c>
      <c r="M13">
        <f t="shared" si="0"/>
        <v>5.0043220556801805E-2</v>
      </c>
    </row>
    <row r="14" spans="2:17" x14ac:dyDescent="0.25">
      <c r="B14">
        <v>6.4758169094085201</v>
      </c>
      <c r="C14">
        <v>0.66471615814122997</v>
      </c>
    </row>
    <row r="15" spans="2:17" x14ac:dyDescent="0.25">
      <c r="B15">
        <v>7.5012271056382396</v>
      </c>
      <c r="C15">
        <v>0.75735459601967703</v>
      </c>
    </row>
    <row r="16" spans="2:17" x14ac:dyDescent="0.25">
      <c r="B16">
        <v>8.4334415758393995</v>
      </c>
      <c r="C16">
        <v>0.84257681466953904</v>
      </c>
    </row>
    <row r="17" spans="2:11" x14ac:dyDescent="0.25">
      <c r="B17">
        <v>9.7007148292233207</v>
      </c>
      <c r="C17">
        <v>0.93532671017801094</v>
      </c>
      <c r="J17" t="s">
        <v>37</v>
      </c>
      <c r="K17">
        <v>0.9863048224205665</v>
      </c>
    </row>
    <row r="18" spans="2:11" x14ac:dyDescent="0.25">
      <c r="B18">
        <v>10.8188491999699</v>
      </c>
      <c r="C18">
        <v>1.0151046522843401</v>
      </c>
      <c r="J18" t="s">
        <v>76</v>
      </c>
      <c r="K18">
        <v>9</v>
      </c>
    </row>
    <row r="19" spans="2:11" x14ac:dyDescent="0.25">
      <c r="B19">
        <v>11.396585538372401</v>
      </c>
      <c r="C19">
        <v>1.05776720359236</v>
      </c>
      <c r="J19" t="s">
        <v>5</v>
      </c>
      <c r="K19">
        <v>3.1415926500000002</v>
      </c>
    </row>
    <row r="20" spans="2:11" x14ac:dyDescent="0.25">
      <c r="B20">
        <v>11.8814262289811</v>
      </c>
      <c r="C20">
        <v>1.1059168997631501</v>
      </c>
    </row>
    <row r="21" spans="2:11" x14ac:dyDescent="0.25">
      <c r="B21">
        <v>12.3285856669774</v>
      </c>
      <c r="C21">
        <v>1.1337727336055401</v>
      </c>
    </row>
    <row r="22" spans="2:11" x14ac:dyDescent="0.25">
      <c r="B22">
        <v>12.8877600231488</v>
      </c>
      <c r="C22">
        <v>1.1782700489770499</v>
      </c>
    </row>
    <row r="23" spans="2:11" x14ac:dyDescent="0.25">
      <c r="B23">
        <v>13.484058343782401</v>
      </c>
      <c r="C23">
        <v>1.2190978362215801</v>
      </c>
    </row>
    <row r="24" spans="2:11" x14ac:dyDescent="0.25">
      <c r="B24">
        <v>13.9084547042621</v>
      </c>
      <c r="C24">
        <v>1.06814133684853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Monoplane equation</vt:lpstr>
      <vt:lpstr>Example - Bertin wing</vt:lpstr>
      <vt:lpstr>Example - Rectangular wing</vt:lpstr>
      <vt:lpstr>PA28</vt:lpstr>
      <vt:lpstr>CLEAN WORKSHEET</vt:lpstr>
      <vt:lpstr>Comparison of methods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guerrero</dc:creator>
  <cp:lastModifiedBy>joel guerrero</cp:lastModifiedBy>
  <dcterms:created xsi:type="dcterms:W3CDTF">2018-11-10T16:19:00Z</dcterms:created>
  <dcterms:modified xsi:type="dcterms:W3CDTF">2020-12-16T16:02:15Z</dcterms:modified>
</cp:coreProperties>
</file>